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OTT3M\Downloads\"/>
    </mc:Choice>
  </mc:AlternateContent>
  <xr:revisionPtr revIDLastSave="0" documentId="13_ncr:1_{D3F951C4-6868-4FF5-80E0-71E8A165BEFF}" xr6:coauthVersionLast="47" xr6:coauthVersionMax="47" xr10:uidLastSave="{00000000-0000-0000-0000-000000000000}"/>
  <bookViews>
    <workbookView xWindow="-110" yWindow="-110" windowWidth="19420" windowHeight="11500" xr2:uid="{17F65BC9-DC3E-4F0D-8302-57C229763FAE}"/>
  </bookViews>
  <sheets>
    <sheet name="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E6" i="1"/>
  <c r="F6" i="1"/>
  <c r="G6" i="1"/>
  <c r="A6" i="1"/>
  <c r="B6" i="1"/>
  <c r="H6" i="1"/>
  <c r="I6" i="1"/>
  <c r="D157" i="1"/>
  <c r="E157" i="1"/>
  <c r="F157" i="1"/>
  <c r="G157" i="1"/>
  <c r="A157" i="1"/>
  <c r="B157" i="1"/>
  <c r="H157" i="1"/>
  <c r="I157" i="1"/>
  <c r="D156" i="1"/>
  <c r="E156" i="1"/>
  <c r="F156" i="1"/>
  <c r="G156" i="1"/>
  <c r="A156" i="1"/>
  <c r="B156" i="1"/>
  <c r="H156" i="1"/>
  <c r="I156" i="1"/>
  <c r="D3532" i="1"/>
  <c r="E3532" i="1"/>
  <c r="F3532" i="1"/>
  <c r="G3532" i="1"/>
  <c r="A3532" i="1"/>
  <c r="B3532" i="1"/>
  <c r="H3532" i="1"/>
  <c r="I3532" i="1"/>
  <c r="D1702" i="1"/>
  <c r="E1702" i="1"/>
  <c r="F1702" i="1"/>
  <c r="G1702" i="1"/>
  <c r="A1702" i="1"/>
  <c r="B1702" i="1"/>
  <c r="H1702" i="1"/>
  <c r="I1702" i="1"/>
  <c r="D3242" i="1"/>
  <c r="E3242" i="1"/>
  <c r="F3242" i="1"/>
  <c r="G3242" i="1"/>
  <c r="A3242" i="1"/>
  <c r="B3242" i="1"/>
  <c r="H3242" i="1"/>
  <c r="I3242" i="1"/>
  <c r="D1275" i="1"/>
  <c r="E1275" i="1"/>
  <c r="F1275" i="1"/>
  <c r="G1275" i="1"/>
  <c r="A1275" i="1"/>
  <c r="B1275" i="1"/>
  <c r="H1275" i="1"/>
  <c r="I1275" i="1"/>
  <c r="D1294" i="1"/>
  <c r="E1294" i="1"/>
  <c r="F1294" i="1"/>
  <c r="G1294" i="1"/>
  <c r="A1294" i="1"/>
  <c r="B1294" i="1"/>
  <c r="H1294" i="1"/>
  <c r="I1294" i="1"/>
  <c r="D3032" i="1"/>
  <c r="E3032" i="1"/>
  <c r="F3032" i="1"/>
  <c r="G3032" i="1"/>
  <c r="A3032" i="1"/>
  <c r="B3032" i="1"/>
  <c r="H3032" i="1"/>
  <c r="I3032" i="1"/>
  <c r="D55" i="1"/>
  <c r="E55" i="1"/>
  <c r="F55" i="1"/>
  <c r="G55" i="1"/>
  <c r="A55" i="1"/>
  <c r="B55" i="1"/>
  <c r="H55" i="1"/>
  <c r="I55" i="1"/>
  <c r="D52" i="1"/>
  <c r="E52" i="1"/>
  <c r="F52" i="1"/>
  <c r="G52" i="1"/>
  <c r="A52" i="1"/>
  <c r="B52" i="1"/>
  <c r="H52" i="1"/>
  <c r="I52" i="1"/>
  <c r="D54" i="1"/>
  <c r="E54" i="1"/>
  <c r="F54" i="1"/>
  <c r="G54" i="1"/>
  <c r="A54" i="1"/>
  <c r="B54" i="1"/>
  <c r="H54" i="1"/>
  <c r="I54" i="1"/>
  <c r="D3491" i="1"/>
  <c r="E3491" i="1"/>
  <c r="F3491" i="1"/>
  <c r="G3491" i="1"/>
  <c r="A3491" i="1"/>
  <c r="B3491" i="1"/>
  <c r="H3491" i="1"/>
  <c r="I3491" i="1"/>
  <c r="D3493" i="1"/>
  <c r="E3493" i="1"/>
  <c r="F3493" i="1"/>
  <c r="G3493" i="1"/>
  <c r="A3493" i="1"/>
  <c r="B3493" i="1"/>
  <c r="H3493" i="1"/>
  <c r="I3493" i="1"/>
  <c r="D3494" i="1"/>
  <c r="E3494" i="1"/>
  <c r="F3494" i="1"/>
  <c r="G3494" i="1"/>
  <c r="A3494" i="1"/>
  <c r="B3494" i="1"/>
  <c r="H3494" i="1"/>
  <c r="I3494" i="1"/>
  <c r="D470" i="1"/>
  <c r="E470" i="1"/>
  <c r="F470" i="1"/>
  <c r="G470" i="1"/>
  <c r="A470" i="1"/>
  <c r="B470" i="1"/>
  <c r="H470" i="1"/>
  <c r="I470" i="1"/>
  <c r="D3492" i="1"/>
  <c r="E3492" i="1"/>
  <c r="F3492" i="1"/>
  <c r="G3492" i="1"/>
  <c r="A3492" i="1"/>
  <c r="B3492" i="1"/>
  <c r="H3492" i="1"/>
  <c r="I3492" i="1"/>
  <c r="D3539" i="1"/>
  <c r="E3539" i="1"/>
  <c r="F3539" i="1"/>
  <c r="G3539" i="1"/>
  <c r="A3539" i="1"/>
  <c r="B3539" i="1"/>
  <c r="H3539" i="1"/>
  <c r="I3539" i="1"/>
  <c r="D3540" i="1"/>
  <c r="E3540" i="1"/>
  <c r="F3540" i="1"/>
  <c r="G3540" i="1"/>
  <c r="A3540" i="1"/>
  <c r="B3540" i="1"/>
  <c r="H3540" i="1"/>
  <c r="I3540" i="1"/>
  <c r="D87" i="1"/>
  <c r="E87" i="1"/>
  <c r="F87" i="1"/>
  <c r="G87" i="1"/>
  <c r="A87" i="1"/>
  <c r="B87" i="1"/>
  <c r="H87" i="1"/>
  <c r="I87" i="1"/>
  <c r="D3554" i="1"/>
  <c r="E3554" i="1"/>
  <c r="F3554" i="1"/>
  <c r="G3554" i="1"/>
  <c r="A3554" i="1"/>
  <c r="B3554" i="1"/>
  <c r="H3554" i="1"/>
  <c r="I3554" i="1"/>
  <c r="D3533" i="1"/>
  <c r="E3533" i="1"/>
  <c r="F3533" i="1"/>
  <c r="G3533" i="1"/>
  <c r="A3533" i="1"/>
  <c r="B3533" i="1"/>
  <c r="H3533" i="1"/>
  <c r="I3533" i="1"/>
  <c r="D1814" i="1"/>
  <c r="E1814" i="1"/>
  <c r="F1814" i="1"/>
  <c r="G1814" i="1"/>
  <c r="A1814" i="1"/>
  <c r="B1814" i="1"/>
  <c r="H1814" i="1"/>
  <c r="I1814" i="1"/>
  <c r="D3541" i="1"/>
  <c r="E3541" i="1"/>
  <c r="F3541" i="1"/>
  <c r="G3541" i="1"/>
  <c r="A3541" i="1"/>
  <c r="B3541" i="1"/>
  <c r="H3541" i="1"/>
  <c r="I3541" i="1"/>
  <c r="D3542" i="1"/>
  <c r="E3542" i="1"/>
  <c r="F3542" i="1"/>
  <c r="G3542" i="1"/>
  <c r="A3542" i="1"/>
  <c r="B3542" i="1"/>
  <c r="H3542" i="1"/>
  <c r="I3542" i="1"/>
  <c r="D1359" i="1"/>
  <c r="E1359" i="1"/>
  <c r="F1359" i="1"/>
  <c r="G1359" i="1"/>
  <c r="A1359" i="1"/>
  <c r="B1359" i="1"/>
  <c r="H1359" i="1"/>
  <c r="I1359" i="1"/>
  <c r="D387" i="1"/>
  <c r="E387" i="1"/>
  <c r="F387" i="1"/>
  <c r="G387" i="1"/>
  <c r="A387" i="1"/>
  <c r="B387" i="1"/>
  <c r="H387" i="1"/>
  <c r="I387" i="1"/>
  <c r="D1360" i="1"/>
  <c r="E1360" i="1"/>
  <c r="F1360" i="1"/>
  <c r="G1360" i="1"/>
  <c r="A1360" i="1"/>
  <c r="B1360" i="1"/>
  <c r="H1360" i="1"/>
  <c r="I1360" i="1"/>
  <c r="D388" i="1"/>
  <c r="E388" i="1"/>
  <c r="F388" i="1"/>
  <c r="G388" i="1"/>
  <c r="A388" i="1"/>
  <c r="B388" i="1"/>
  <c r="H388" i="1"/>
  <c r="I388" i="1"/>
  <c r="D7" i="1"/>
  <c r="E7" i="1"/>
  <c r="F7" i="1"/>
  <c r="G7" i="1"/>
  <c r="A7" i="1"/>
  <c r="B7" i="1"/>
  <c r="H7" i="1"/>
  <c r="I7" i="1"/>
  <c r="D93" i="1"/>
  <c r="E93" i="1"/>
  <c r="F93" i="1"/>
  <c r="G93" i="1"/>
  <c r="A93" i="1"/>
  <c r="B93" i="1"/>
  <c r="H93" i="1"/>
  <c r="I93" i="1"/>
  <c r="D2472" i="1"/>
  <c r="E2472" i="1"/>
  <c r="F2472" i="1"/>
  <c r="G2472" i="1"/>
  <c r="A2472" i="1"/>
  <c r="B2472" i="1"/>
  <c r="H2472" i="1"/>
  <c r="I2472" i="1"/>
  <c r="D2456" i="1"/>
  <c r="E2456" i="1"/>
  <c r="F2456" i="1"/>
  <c r="G2456" i="1"/>
  <c r="A2456" i="1"/>
  <c r="B2456" i="1"/>
  <c r="H2456" i="1"/>
  <c r="I2456" i="1"/>
  <c r="D2207" i="1"/>
  <c r="E2207" i="1"/>
  <c r="F2207" i="1"/>
  <c r="G2207" i="1"/>
  <c r="A2207" i="1"/>
  <c r="B2207" i="1"/>
  <c r="H2207" i="1"/>
  <c r="I2207" i="1"/>
  <c r="D2206" i="1"/>
  <c r="E2206" i="1"/>
  <c r="F2206" i="1"/>
  <c r="G2206" i="1"/>
  <c r="A2206" i="1"/>
  <c r="B2206" i="1"/>
  <c r="H2206" i="1"/>
  <c r="I2206" i="1"/>
  <c r="D2457" i="1"/>
  <c r="E2457" i="1"/>
  <c r="F2457" i="1"/>
  <c r="G2457" i="1"/>
  <c r="A2457" i="1"/>
  <c r="B2457" i="1"/>
  <c r="H2457" i="1"/>
  <c r="I2457" i="1"/>
  <c r="D2458" i="1"/>
  <c r="E2458" i="1"/>
  <c r="F2458" i="1"/>
  <c r="G2458" i="1"/>
  <c r="A2458" i="1"/>
  <c r="B2458" i="1"/>
  <c r="H2458" i="1"/>
  <c r="I2458" i="1"/>
  <c r="D2461" i="1"/>
  <c r="E2461" i="1"/>
  <c r="F2461" i="1"/>
  <c r="G2461" i="1"/>
  <c r="A2461" i="1"/>
  <c r="B2461" i="1"/>
  <c r="H2461" i="1"/>
  <c r="I2461" i="1"/>
  <c r="D2462" i="1"/>
  <c r="E2462" i="1"/>
  <c r="F2462" i="1"/>
  <c r="G2462" i="1"/>
  <c r="A2462" i="1"/>
  <c r="B2462" i="1"/>
  <c r="H2462" i="1"/>
  <c r="I2462" i="1"/>
  <c r="D2463" i="1"/>
  <c r="E2463" i="1"/>
  <c r="F2463" i="1"/>
  <c r="G2463" i="1"/>
  <c r="A2463" i="1"/>
  <c r="B2463" i="1"/>
  <c r="H2463" i="1"/>
  <c r="I2463" i="1"/>
  <c r="D2464" i="1"/>
  <c r="E2464" i="1"/>
  <c r="F2464" i="1"/>
  <c r="G2464" i="1"/>
  <c r="A2464" i="1"/>
  <c r="B2464" i="1"/>
  <c r="H2464" i="1"/>
  <c r="I2464" i="1"/>
  <c r="D2465" i="1"/>
  <c r="E2465" i="1"/>
  <c r="F2465" i="1"/>
  <c r="G2465" i="1"/>
  <c r="A2465" i="1"/>
  <c r="B2465" i="1"/>
  <c r="H2465" i="1"/>
  <c r="I2465" i="1"/>
  <c r="D2466" i="1"/>
  <c r="E2466" i="1"/>
  <c r="F2466" i="1"/>
  <c r="G2466" i="1"/>
  <c r="A2466" i="1"/>
  <c r="B2466" i="1"/>
  <c r="H2466" i="1"/>
  <c r="I2466" i="1"/>
  <c r="D2467" i="1"/>
  <c r="E2467" i="1"/>
  <c r="F2467" i="1"/>
  <c r="G2467" i="1"/>
  <c r="A2467" i="1"/>
  <c r="B2467" i="1"/>
  <c r="H2467" i="1"/>
  <c r="I2467" i="1"/>
  <c r="D2468" i="1"/>
  <c r="E2468" i="1"/>
  <c r="F2468" i="1"/>
  <c r="G2468" i="1"/>
  <c r="A2468" i="1"/>
  <c r="B2468" i="1"/>
  <c r="H2468" i="1"/>
  <c r="I2468" i="1"/>
  <c r="D2469" i="1"/>
  <c r="E2469" i="1"/>
  <c r="F2469" i="1"/>
  <c r="G2469" i="1"/>
  <c r="A2469" i="1"/>
  <c r="B2469" i="1"/>
  <c r="H2469" i="1"/>
  <c r="I2469" i="1"/>
  <c r="D2470" i="1"/>
  <c r="E2470" i="1"/>
  <c r="F2470" i="1"/>
  <c r="G2470" i="1"/>
  <c r="A2470" i="1"/>
  <c r="B2470" i="1"/>
  <c r="H2470" i="1"/>
  <c r="I2470" i="1"/>
  <c r="D2471" i="1"/>
  <c r="E2471" i="1"/>
  <c r="F2471" i="1"/>
  <c r="G2471" i="1"/>
  <c r="A2471" i="1"/>
  <c r="B2471" i="1"/>
  <c r="H2471" i="1"/>
  <c r="I2471" i="1"/>
  <c r="D1916" i="1"/>
  <c r="E1916" i="1"/>
  <c r="F1916" i="1"/>
  <c r="G1916" i="1"/>
  <c r="A1916" i="1"/>
  <c r="B1916" i="1"/>
  <c r="H1916" i="1"/>
  <c r="I1916" i="1"/>
  <c r="D1917" i="1"/>
  <c r="E1917" i="1"/>
  <c r="F1917" i="1"/>
  <c r="G1917" i="1"/>
  <c r="A1917" i="1"/>
  <c r="B1917" i="1"/>
  <c r="H1917" i="1"/>
  <c r="I1917" i="1"/>
  <c r="D3487" i="1"/>
  <c r="E3487" i="1"/>
  <c r="F3487" i="1"/>
  <c r="G3487" i="1"/>
  <c r="A3487" i="1"/>
  <c r="B3487" i="1"/>
  <c r="H3487" i="1"/>
  <c r="I3487" i="1"/>
  <c r="D2453" i="1"/>
  <c r="E2453" i="1"/>
  <c r="F2453" i="1"/>
  <c r="G2453" i="1"/>
  <c r="A2453" i="1"/>
  <c r="B2453" i="1"/>
  <c r="H2453" i="1"/>
  <c r="I2453" i="1"/>
  <c r="D2452" i="1"/>
  <c r="E2452" i="1"/>
  <c r="F2452" i="1"/>
  <c r="G2452" i="1"/>
  <c r="A2452" i="1"/>
  <c r="B2452" i="1"/>
  <c r="H2452" i="1"/>
  <c r="I2452" i="1"/>
  <c r="D2451" i="1"/>
  <c r="E2451" i="1"/>
  <c r="F2451" i="1"/>
  <c r="G2451" i="1"/>
  <c r="A2451" i="1"/>
  <c r="B2451" i="1"/>
  <c r="H2451" i="1"/>
  <c r="I2451" i="1"/>
  <c r="D2454" i="1"/>
  <c r="E2454" i="1"/>
  <c r="F2454" i="1"/>
  <c r="G2454" i="1"/>
  <c r="A2454" i="1"/>
  <c r="B2454" i="1"/>
  <c r="H2454" i="1"/>
  <c r="I2454" i="1"/>
  <c r="D2455" i="1"/>
  <c r="E2455" i="1"/>
  <c r="F2455" i="1"/>
  <c r="G2455" i="1"/>
  <c r="A2455" i="1"/>
  <c r="B2455" i="1"/>
  <c r="H2455" i="1"/>
  <c r="I2455" i="1"/>
  <c r="D2460" i="1"/>
  <c r="E2460" i="1"/>
  <c r="F2460" i="1"/>
  <c r="G2460" i="1"/>
  <c r="A2460" i="1"/>
  <c r="B2460" i="1"/>
  <c r="H2460" i="1"/>
  <c r="I2460" i="1"/>
  <c r="D2459" i="1"/>
  <c r="E2459" i="1"/>
  <c r="F2459" i="1"/>
  <c r="G2459" i="1"/>
  <c r="A2459" i="1"/>
  <c r="B2459" i="1"/>
  <c r="H2459" i="1"/>
  <c r="I2459" i="1"/>
  <c r="D2473" i="1"/>
  <c r="E2473" i="1"/>
  <c r="F2473" i="1"/>
  <c r="G2473" i="1"/>
  <c r="A2473" i="1"/>
  <c r="B2473" i="1"/>
  <c r="H2473" i="1"/>
  <c r="I2473" i="1"/>
  <c r="D2208" i="1"/>
  <c r="E2208" i="1"/>
  <c r="F2208" i="1"/>
  <c r="G2208" i="1"/>
  <c r="A2208" i="1"/>
  <c r="B2208" i="1"/>
  <c r="H2208" i="1"/>
  <c r="I2208" i="1"/>
  <c r="D3359" i="1"/>
  <c r="E3359" i="1"/>
  <c r="F3359" i="1"/>
  <c r="G3359" i="1"/>
  <c r="A3359" i="1"/>
  <c r="B3359" i="1"/>
  <c r="H3359" i="1"/>
  <c r="I3359" i="1"/>
  <c r="D1234" i="1"/>
  <c r="E1234" i="1"/>
  <c r="F1234" i="1"/>
  <c r="G1234" i="1"/>
  <c r="A1234" i="1"/>
  <c r="B1234" i="1"/>
  <c r="H1234" i="1"/>
  <c r="I1234" i="1"/>
  <c r="D1406" i="1"/>
  <c r="E1406" i="1"/>
  <c r="F1406" i="1"/>
  <c r="G1406" i="1"/>
  <c r="A1406" i="1"/>
  <c r="B1406" i="1"/>
  <c r="H1406" i="1"/>
  <c r="I1406" i="1"/>
  <c r="D2410" i="1"/>
  <c r="E2410" i="1"/>
  <c r="F2410" i="1"/>
  <c r="G2410" i="1"/>
  <c r="A2410" i="1"/>
  <c r="B2410" i="1"/>
  <c r="H2410" i="1"/>
  <c r="I2410" i="1"/>
  <c r="D2411" i="1"/>
  <c r="E2411" i="1"/>
  <c r="F2411" i="1"/>
  <c r="G2411" i="1"/>
  <c r="A2411" i="1"/>
  <c r="B2411" i="1"/>
  <c r="H2411" i="1"/>
  <c r="I2411" i="1"/>
  <c r="D2205" i="1"/>
  <c r="E2205" i="1"/>
  <c r="F2205" i="1"/>
  <c r="G2205" i="1"/>
  <c r="A2205" i="1"/>
  <c r="B2205" i="1"/>
  <c r="H2205" i="1"/>
  <c r="I2205" i="1"/>
  <c r="D2204" i="1"/>
  <c r="E2204" i="1"/>
  <c r="F2204" i="1"/>
  <c r="G2204" i="1"/>
  <c r="A2204" i="1"/>
  <c r="B2204" i="1"/>
  <c r="H2204" i="1"/>
  <c r="I2204" i="1"/>
  <c r="D2143" i="1"/>
  <c r="E2143" i="1"/>
  <c r="F2143" i="1"/>
  <c r="G2143" i="1"/>
  <c r="A2143" i="1"/>
  <c r="B2143" i="1"/>
  <c r="H2143" i="1"/>
  <c r="I2143" i="1"/>
  <c r="D2113" i="1"/>
  <c r="E2113" i="1"/>
  <c r="F2113" i="1"/>
  <c r="G2113" i="1"/>
  <c r="A2113" i="1"/>
  <c r="B2113" i="1"/>
  <c r="H2113" i="1"/>
  <c r="I2113" i="1"/>
  <c r="D2141" i="1"/>
  <c r="E2141" i="1"/>
  <c r="F2141" i="1"/>
  <c r="G2141" i="1"/>
  <c r="A2141" i="1"/>
  <c r="B2141" i="1"/>
  <c r="H2141" i="1"/>
  <c r="I2141" i="1"/>
  <c r="D2114" i="1"/>
  <c r="E2114" i="1"/>
  <c r="F2114" i="1"/>
  <c r="G2114" i="1"/>
  <c r="A2114" i="1"/>
  <c r="B2114" i="1"/>
  <c r="H2114" i="1"/>
  <c r="I2114" i="1"/>
  <c r="D3495" i="1"/>
  <c r="E3495" i="1"/>
  <c r="F3495" i="1"/>
  <c r="G3495" i="1"/>
  <c r="A3495" i="1"/>
  <c r="B3495" i="1"/>
  <c r="H3495" i="1"/>
  <c r="I3495" i="1"/>
  <c r="D2145" i="1"/>
  <c r="E2145" i="1"/>
  <c r="F2145" i="1"/>
  <c r="G2145" i="1"/>
  <c r="A2145" i="1"/>
  <c r="B2145" i="1"/>
  <c r="H2145" i="1"/>
  <c r="I2145" i="1"/>
  <c r="D2142" i="1"/>
  <c r="E2142" i="1"/>
  <c r="F2142" i="1"/>
  <c r="G2142" i="1"/>
  <c r="A2142" i="1"/>
  <c r="B2142" i="1"/>
  <c r="H2142" i="1"/>
  <c r="I2142" i="1"/>
  <c r="D3496" i="1"/>
  <c r="E3496" i="1"/>
  <c r="F3496" i="1"/>
  <c r="G3496" i="1"/>
  <c r="A3496" i="1"/>
  <c r="B3496" i="1"/>
  <c r="H3496" i="1"/>
  <c r="I3496" i="1"/>
  <c r="D1379" i="1"/>
  <c r="E1379" i="1"/>
  <c r="F1379" i="1"/>
  <c r="G1379" i="1"/>
  <c r="A1379" i="1"/>
  <c r="B1379" i="1"/>
  <c r="H1379" i="1"/>
  <c r="I1379" i="1"/>
  <c r="D1434" i="1"/>
  <c r="E1434" i="1"/>
  <c r="F1434" i="1"/>
  <c r="G1434" i="1"/>
  <c r="A1434" i="1"/>
  <c r="B1434" i="1"/>
  <c r="H1434" i="1"/>
  <c r="I1434" i="1"/>
  <c r="D981" i="1"/>
  <c r="E981" i="1"/>
  <c r="F981" i="1"/>
  <c r="G981" i="1"/>
  <c r="A981" i="1"/>
  <c r="B981" i="1"/>
  <c r="H981" i="1"/>
  <c r="I981" i="1"/>
  <c r="D122" i="1"/>
  <c r="E122" i="1"/>
  <c r="F122" i="1"/>
  <c r="G122" i="1"/>
  <c r="A122" i="1"/>
  <c r="B122" i="1"/>
  <c r="H122" i="1"/>
  <c r="I122" i="1"/>
  <c r="D2144" i="1"/>
  <c r="E2144" i="1"/>
  <c r="F2144" i="1"/>
  <c r="G2144" i="1"/>
  <c r="A2144" i="1"/>
  <c r="B2144" i="1"/>
  <c r="H2144" i="1"/>
  <c r="I2144" i="1"/>
  <c r="D53" i="1"/>
  <c r="E53" i="1"/>
  <c r="F53" i="1"/>
  <c r="G53" i="1"/>
  <c r="A53" i="1"/>
  <c r="B53" i="1"/>
  <c r="H53" i="1"/>
  <c r="I53" i="1"/>
  <c r="D2211" i="1"/>
  <c r="E2211" i="1"/>
  <c r="F2211" i="1"/>
  <c r="G2211" i="1"/>
  <c r="A2211" i="1"/>
  <c r="B2211" i="1"/>
  <c r="H2211" i="1"/>
  <c r="I2211" i="1"/>
  <c r="D48" i="1"/>
  <c r="E48" i="1"/>
  <c r="F48" i="1"/>
  <c r="G48" i="1"/>
  <c r="A48" i="1"/>
  <c r="B48" i="1"/>
  <c r="H48" i="1"/>
  <c r="I48" i="1"/>
  <c r="D1704" i="1"/>
  <c r="E1704" i="1"/>
  <c r="F1704" i="1"/>
  <c r="G1704" i="1"/>
  <c r="A1704" i="1"/>
  <c r="B1704" i="1"/>
  <c r="H1704" i="1"/>
  <c r="I1704" i="1"/>
  <c r="D1703" i="1"/>
  <c r="E1703" i="1"/>
  <c r="F1703" i="1"/>
  <c r="G1703" i="1"/>
  <c r="A1703" i="1"/>
  <c r="B1703" i="1"/>
  <c r="H1703" i="1"/>
  <c r="I1703" i="1"/>
  <c r="D1705" i="1"/>
  <c r="E1705" i="1"/>
  <c r="F1705" i="1"/>
  <c r="G1705" i="1"/>
  <c r="A1705" i="1"/>
  <c r="B1705" i="1"/>
  <c r="H1705" i="1"/>
  <c r="I1705" i="1"/>
  <c r="D1149" i="1"/>
  <c r="E1149" i="1"/>
  <c r="F1149" i="1"/>
  <c r="G1149" i="1"/>
  <c r="A1149" i="1"/>
  <c r="B1149" i="1"/>
  <c r="H1149" i="1"/>
  <c r="I1149" i="1"/>
  <c r="D3485" i="1"/>
  <c r="E3485" i="1"/>
  <c r="F3485" i="1"/>
  <c r="G3485" i="1"/>
  <c r="A3485" i="1"/>
  <c r="B3485" i="1"/>
  <c r="H3485" i="1"/>
  <c r="I3485" i="1"/>
  <c r="D3486" i="1"/>
  <c r="E3486" i="1"/>
  <c r="F3486" i="1"/>
  <c r="G3486" i="1"/>
  <c r="A3486" i="1"/>
  <c r="B3486" i="1"/>
  <c r="H3486" i="1"/>
  <c r="I3486" i="1"/>
  <c r="D2552" i="1"/>
  <c r="E2552" i="1"/>
  <c r="F2552" i="1"/>
  <c r="G2552" i="1"/>
  <c r="A2552" i="1"/>
  <c r="B2552" i="1"/>
  <c r="H2552" i="1"/>
  <c r="I2552" i="1"/>
  <c r="D2409" i="1"/>
  <c r="E2409" i="1"/>
  <c r="F2409" i="1"/>
  <c r="G2409" i="1"/>
  <c r="A2409" i="1"/>
  <c r="B2409" i="1"/>
  <c r="H2409" i="1"/>
  <c r="I2409" i="1"/>
  <c r="D3551" i="1"/>
  <c r="E3551" i="1"/>
  <c r="F3551" i="1"/>
  <c r="G3551" i="1"/>
  <c r="A3551" i="1"/>
  <c r="B3551" i="1"/>
  <c r="H3551" i="1"/>
  <c r="I3551" i="1"/>
  <c r="D3483" i="1"/>
  <c r="E3483" i="1"/>
  <c r="F3483" i="1"/>
  <c r="G3483" i="1"/>
  <c r="A3483" i="1"/>
  <c r="B3483" i="1"/>
  <c r="H3483" i="1"/>
  <c r="I3483" i="1"/>
  <c r="D1701" i="1"/>
  <c r="E1701" i="1"/>
  <c r="F1701" i="1"/>
  <c r="G1701" i="1"/>
  <c r="A1701" i="1"/>
  <c r="B1701" i="1"/>
  <c r="H1701" i="1"/>
  <c r="I1701" i="1"/>
  <c r="D3484" i="1"/>
  <c r="E3484" i="1"/>
  <c r="F3484" i="1"/>
  <c r="G3484" i="1"/>
  <c r="A3484" i="1"/>
  <c r="B3484" i="1"/>
  <c r="H3484" i="1"/>
  <c r="I3484" i="1"/>
  <c r="D50" i="1"/>
  <c r="E50" i="1"/>
  <c r="F50" i="1"/>
  <c r="G50" i="1"/>
  <c r="A50" i="1"/>
  <c r="B50" i="1"/>
  <c r="H50" i="1"/>
  <c r="I50" i="1"/>
  <c r="D51" i="1"/>
  <c r="E51" i="1"/>
  <c r="F51" i="1"/>
  <c r="G51" i="1"/>
  <c r="A51" i="1"/>
  <c r="B51" i="1"/>
  <c r="H51" i="1"/>
  <c r="I51" i="1"/>
  <c r="D1341" i="1"/>
  <c r="E1341" i="1"/>
  <c r="F1341" i="1"/>
  <c r="G1341" i="1"/>
  <c r="A1341" i="1"/>
  <c r="B1341" i="1"/>
  <c r="H1341" i="1"/>
  <c r="I1341" i="1"/>
  <c r="D1487" i="1"/>
  <c r="E1487" i="1"/>
  <c r="F1487" i="1"/>
  <c r="G1487" i="1"/>
  <c r="A1487" i="1"/>
  <c r="B1487" i="1"/>
  <c r="H1487" i="1"/>
  <c r="I1487" i="1"/>
  <c r="D3252" i="1"/>
  <c r="E3252" i="1"/>
  <c r="F3252" i="1"/>
  <c r="G3252" i="1"/>
  <c r="A3252" i="1"/>
  <c r="B3252" i="1"/>
  <c r="H3252" i="1"/>
  <c r="I3252" i="1"/>
  <c r="D3550" i="1"/>
  <c r="E3550" i="1"/>
  <c r="F3550" i="1"/>
  <c r="G3550" i="1"/>
  <c r="A3550" i="1"/>
  <c r="B3550" i="1"/>
  <c r="H3550" i="1"/>
  <c r="I3550" i="1"/>
  <c r="D3549" i="1"/>
  <c r="E3549" i="1"/>
  <c r="F3549" i="1"/>
  <c r="G3549" i="1"/>
  <c r="A3549" i="1"/>
  <c r="B3549" i="1"/>
  <c r="H3549" i="1"/>
  <c r="I3549" i="1"/>
  <c r="D3534" i="1"/>
  <c r="E3534" i="1"/>
  <c r="F3534" i="1"/>
  <c r="G3534" i="1"/>
  <c r="A3534" i="1"/>
  <c r="B3534" i="1"/>
  <c r="H3534" i="1"/>
  <c r="I3534" i="1"/>
  <c r="D3535" i="1"/>
  <c r="E3535" i="1"/>
  <c r="F3535" i="1"/>
  <c r="G3535" i="1"/>
  <c r="A3535" i="1"/>
  <c r="B3535" i="1"/>
  <c r="H3535" i="1"/>
  <c r="I3535" i="1"/>
  <c r="D3536" i="1"/>
  <c r="E3536" i="1"/>
  <c r="F3536" i="1"/>
  <c r="G3536" i="1"/>
  <c r="A3536" i="1"/>
  <c r="B3536" i="1"/>
  <c r="H3536" i="1"/>
  <c r="I3536" i="1"/>
  <c r="D3537" i="1"/>
  <c r="E3537" i="1"/>
  <c r="F3537" i="1"/>
  <c r="G3537" i="1"/>
  <c r="A3537" i="1"/>
  <c r="B3537" i="1"/>
  <c r="H3537" i="1"/>
  <c r="I3537" i="1"/>
  <c r="D3538" i="1"/>
  <c r="E3538" i="1"/>
  <c r="F3538" i="1"/>
  <c r="G3538" i="1"/>
  <c r="A3538" i="1"/>
  <c r="B3538" i="1"/>
  <c r="H3538" i="1"/>
  <c r="I3538" i="1"/>
  <c r="D817" i="1"/>
  <c r="E817" i="1"/>
  <c r="F817" i="1"/>
  <c r="G817" i="1"/>
  <c r="A817" i="1"/>
  <c r="B817" i="1"/>
  <c r="H817" i="1"/>
  <c r="I817" i="1"/>
  <c r="D1634" i="1"/>
  <c r="E1634" i="1"/>
  <c r="F1634" i="1"/>
  <c r="G1634" i="1"/>
  <c r="A1634" i="1"/>
  <c r="B1634" i="1"/>
  <c r="H1634" i="1"/>
  <c r="I1634" i="1"/>
  <c r="D1793" i="1"/>
  <c r="E1793" i="1"/>
  <c r="F1793" i="1"/>
  <c r="G1793" i="1"/>
  <c r="A1793" i="1"/>
  <c r="B1793" i="1"/>
  <c r="H1793" i="1"/>
  <c r="I1793" i="1"/>
  <c r="D2030" i="1"/>
  <c r="E2030" i="1"/>
  <c r="F2030" i="1"/>
  <c r="G2030" i="1"/>
  <c r="A2030" i="1"/>
  <c r="B2030" i="1"/>
  <c r="H2030" i="1"/>
  <c r="I2030" i="1"/>
  <c r="D2975" i="1"/>
  <c r="E2975" i="1"/>
  <c r="F2975" i="1"/>
  <c r="G2975" i="1"/>
  <c r="A2975" i="1"/>
  <c r="B2975" i="1"/>
  <c r="H2975" i="1"/>
  <c r="I2975" i="1"/>
  <c r="D8" i="1"/>
  <c r="E8" i="1"/>
  <c r="F8" i="1"/>
  <c r="G8" i="1"/>
  <c r="A8" i="1"/>
  <c r="B8" i="1"/>
  <c r="H8" i="1"/>
  <c r="I8" i="1"/>
  <c r="D2199" i="1"/>
  <c r="E2199" i="1"/>
  <c r="F2199" i="1"/>
  <c r="G2199" i="1"/>
  <c r="A2199" i="1"/>
  <c r="B2199" i="1"/>
  <c r="H2199" i="1"/>
  <c r="I2199" i="1"/>
  <c r="D1815" i="1"/>
  <c r="E1815" i="1"/>
  <c r="F1815" i="1"/>
  <c r="G1815" i="1"/>
  <c r="A1815" i="1"/>
  <c r="B1815" i="1"/>
  <c r="H1815" i="1"/>
  <c r="I1815" i="1"/>
  <c r="D2445" i="1"/>
  <c r="E2445" i="1"/>
  <c r="F2445" i="1"/>
  <c r="G2445" i="1"/>
  <c r="A2445" i="1"/>
  <c r="B2445" i="1"/>
  <c r="H2445" i="1"/>
  <c r="I2445" i="1"/>
  <c r="D1780" i="1"/>
  <c r="E1780" i="1"/>
  <c r="F1780" i="1"/>
  <c r="G1780" i="1"/>
  <c r="A1780" i="1"/>
  <c r="B1780" i="1"/>
  <c r="H1780" i="1"/>
  <c r="I1780" i="1"/>
  <c r="D2949" i="1"/>
  <c r="E2949" i="1"/>
  <c r="F2949" i="1"/>
  <c r="G2949" i="1"/>
  <c r="A2949" i="1"/>
  <c r="B2949" i="1"/>
  <c r="H2949" i="1"/>
  <c r="I2949" i="1"/>
  <c r="D2489" i="1"/>
  <c r="E2489" i="1"/>
  <c r="F2489" i="1"/>
  <c r="G2489" i="1"/>
  <c r="A2489" i="1"/>
  <c r="B2489" i="1"/>
  <c r="H2489" i="1"/>
  <c r="I2489" i="1"/>
  <c r="D1156" i="1"/>
  <c r="E1156" i="1"/>
  <c r="F1156" i="1"/>
  <c r="G1156" i="1"/>
  <c r="A1156" i="1"/>
  <c r="B1156" i="1"/>
  <c r="H1156" i="1"/>
  <c r="I1156" i="1"/>
  <c r="D1532" i="1"/>
  <c r="E1532" i="1"/>
  <c r="F1532" i="1"/>
  <c r="G1532" i="1"/>
  <c r="A1532" i="1"/>
  <c r="B1532" i="1"/>
  <c r="H1532" i="1"/>
  <c r="I1532" i="1"/>
  <c r="D1158" i="1"/>
  <c r="E1158" i="1"/>
  <c r="F1158" i="1"/>
  <c r="G1158" i="1"/>
  <c r="A1158" i="1"/>
  <c r="B1158" i="1"/>
  <c r="H1158" i="1"/>
  <c r="I1158" i="1"/>
  <c r="D3531" i="1"/>
  <c r="E3531" i="1"/>
  <c r="F3531" i="1"/>
  <c r="G3531" i="1"/>
  <c r="A3531" i="1"/>
  <c r="B3531" i="1"/>
  <c r="H3531" i="1"/>
  <c r="I3531" i="1"/>
  <c r="D1530" i="1"/>
  <c r="E1530" i="1"/>
  <c r="F1530" i="1"/>
  <c r="G1530" i="1"/>
  <c r="A1530" i="1"/>
  <c r="B1530" i="1"/>
  <c r="H1530" i="1"/>
  <c r="I1530" i="1"/>
  <c r="D1537" i="1"/>
  <c r="E1537" i="1"/>
  <c r="F1537" i="1"/>
  <c r="G1537" i="1"/>
  <c r="A1537" i="1"/>
  <c r="B1537" i="1"/>
  <c r="H1537" i="1"/>
  <c r="I1537" i="1"/>
  <c r="D1538" i="1"/>
  <c r="E1538" i="1"/>
  <c r="F1538" i="1"/>
  <c r="G1538" i="1"/>
  <c r="A1538" i="1"/>
  <c r="B1538" i="1"/>
  <c r="H1538" i="1"/>
  <c r="I1538" i="1"/>
  <c r="D1545" i="1"/>
  <c r="E1545" i="1"/>
  <c r="F1545" i="1"/>
  <c r="G1545" i="1"/>
  <c r="A1545" i="1"/>
  <c r="B1545" i="1"/>
  <c r="H1545" i="1"/>
  <c r="I1545" i="1"/>
  <c r="D1546" i="1"/>
  <c r="E1546" i="1"/>
  <c r="F1546" i="1"/>
  <c r="G1546" i="1"/>
  <c r="A1546" i="1"/>
  <c r="B1546" i="1"/>
  <c r="H1546" i="1"/>
  <c r="I1546" i="1"/>
  <c r="D1544" i="1"/>
  <c r="E1544" i="1"/>
  <c r="F1544" i="1"/>
  <c r="G1544" i="1"/>
  <c r="A1544" i="1"/>
  <c r="B1544" i="1"/>
  <c r="H1544" i="1"/>
  <c r="I1544" i="1"/>
  <c r="D1533" i="1"/>
  <c r="E1533" i="1"/>
  <c r="F1533" i="1"/>
  <c r="G1533" i="1"/>
  <c r="A1533" i="1"/>
  <c r="B1533" i="1"/>
  <c r="H1533" i="1"/>
  <c r="I1533" i="1"/>
  <c r="D1163" i="1"/>
  <c r="E1163" i="1"/>
  <c r="F1163" i="1"/>
  <c r="G1163" i="1"/>
  <c r="A1163" i="1"/>
  <c r="B1163" i="1"/>
  <c r="H1163" i="1"/>
  <c r="I1163" i="1"/>
  <c r="D305" i="1"/>
  <c r="E305" i="1"/>
  <c r="F305" i="1"/>
  <c r="G305" i="1"/>
  <c r="A305" i="1"/>
  <c r="B305" i="1"/>
  <c r="H305" i="1"/>
  <c r="I305" i="1"/>
  <c r="D1543" i="1"/>
  <c r="E1543" i="1"/>
  <c r="F1543" i="1"/>
  <c r="G1543" i="1"/>
  <c r="A1543" i="1"/>
  <c r="B1543" i="1"/>
  <c r="H1543" i="1"/>
  <c r="I1543" i="1"/>
  <c r="D1541" i="1"/>
  <c r="E1541" i="1"/>
  <c r="F1541" i="1"/>
  <c r="G1541" i="1"/>
  <c r="A1541" i="1"/>
  <c r="B1541" i="1"/>
  <c r="H1541" i="1"/>
  <c r="I1541" i="1"/>
  <c r="D134" i="1"/>
  <c r="E134" i="1"/>
  <c r="F134" i="1"/>
  <c r="G134" i="1"/>
  <c r="A134" i="1"/>
  <c r="B134" i="1"/>
  <c r="H134" i="1"/>
  <c r="I134" i="1"/>
  <c r="D1165" i="1"/>
  <c r="E1165" i="1"/>
  <c r="F1165" i="1"/>
  <c r="G1165" i="1"/>
  <c r="A1165" i="1"/>
  <c r="B1165" i="1"/>
  <c r="H1165" i="1"/>
  <c r="I1165" i="1"/>
  <c r="D1548" i="1"/>
  <c r="E1548" i="1"/>
  <c r="F1548" i="1"/>
  <c r="G1548" i="1"/>
  <c r="A1548" i="1"/>
  <c r="B1548" i="1"/>
  <c r="H1548" i="1"/>
  <c r="I1548" i="1"/>
  <c r="D1162" i="1"/>
  <c r="E1162" i="1"/>
  <c r="F1162" i="1"/>
  <c r="G1162" i="1"/>
  <c r="A1162" i="1"/>
  <c r="B1162" i="1"/>
  <c r="H1162" i="1"/>
  <c r="I1162" i="1"/>
  <c r="D1160" i="1"/>
  <c r="E1160" i="1"/>
  <c r="F1160" i="1"/>
  <c r="G1160" i="1"/>
  <c r="A1160" i="1"/>
  <c r="B1160" i="1"/>
  <c r="H1160" i="1"/>
  <c r="I1160" i="1"/>
  <c r="D306" i="1"/>
  <c r="E306" i="1"/>
  <c r="F306" i="1"/>
  <c r="G306" i="1"/>
  <c r="A306" i="1"/>
  <c r="B306" i="1"/>
  <c r="H306" i="1"/>
  <c r="I306" i="1"/>
  <c r="D615" i="1"/>
  <c r="E615" i="1"/>
  <c r="F615" i="1"/>
  <c r="G615" i="1"/>
  <c r="A615" i="1"/>
  <c r="B615" i="1"/>
  <c r="H615" i="1"/>
  <c r="I615" i="1"/>
  <c r="D1535" i="1"/>
  <c r="E1535" i="1"/>
  <c r="F1535" i="1"/>
  <c r="G1535" i="1"/>
  <c r="A1535" i="1"/>
  <c r="B1535" i="1"/>
  <c r="H1535" i="1"/>
  <c r="I1535" i="1"/>
  <c r="D616" i="1"/>
  <c r="E616" i="1"/>
  <c r="F616" i="1"/>
  <c r="G616" i="1"/>
  <c r="A616" i="1"/>
  <c r="B616" i="1"/>
  <c r="H616" i="1"/>
  <c r="I616" i="1"/>
  <c r="D309" i="1"/>
  <c r="E309" i="1"/>
  <c r="F309" i="1"/>
  <c r="G309" i="1"/>
  <c r="A309" i="1"/>
  <c r="B309" i="1"/>
  <c r="H309" i="1"/>
  <c r="I309" i="1"/>
  <c r="D153" i="1"/>
  <c r="E153" i="1"/>
  <c r="F153" i="1"/>
  <c r="G153" i="1"/>
  <c r="A153" i="1"/>
  <c r="B153" i="1"/>
  <c r="H153" i="1"/>
  <c r="I153" i="1"/>
  <c r="D2538" i="1"/>
  <c r="E2538" i="1"/>
  <c r="F2538" i="1"/>
  <c r="G2538" i="1"/>
  <c r="A2538" i="1"/>
  <c r="B2538" i="1"/>
  <c r="H2538" i="1"/>
  <c r="I2538" i="1"/>
  <c r="D1161" i="1"/>
  <c r="E1161" i="1"/>
  <c r="F1161" i="1"/>
  <c r="G1161" i="1"/>
  <c r="A1161" i="1"/>
  <c r="B1161" i="1"/>
  <c r="H1161" i="1"/>
  <c r="I1161" i="1"/>
  <c r="D1157" i="1"/>
  <c r="E1157" i="1"/>
  <c r="F1157" i="1"/>
  <c r="G1157" i="1"/>
  <c r="A1157" i="1"/>
  <c r="B1157" i="1"/>
  <c r="H1157" i="1"/>
  <c r="I1157" i="1"/>
  <c r="D1159" i="1"/>
  <c r="E1159" i="1"/>
  <c r="F1159" i="1"/>
  <c r="G1159" i="1"/>
  <c r="A1159" i="1"/>
  <c r="B1159" i="1"/>
  <c r="H1159" i="1"/>
  <c r="I1159" i="1"/>
  <c r="D1153" i="1"/>
  <c r="E1153" i="1"/>
  <c r="F1153" i="1"/>
  <c r="G1153" i="1"/>
  <c r="A1153" i="1"/>
  <c r="B1153" i="1"/>
  <c r="H1153" i="1"/>
  <c r="I1153" i="1"/>
  <c r="D151" i="1"/>
  <c r="E151" i="1"/>
  <c r="F151" i="1"/>
  <c r="G151" i="1"/>
  <c r="A151" i="1"/>
  <c r="B151" i="1"/>
  <c r="H151" i="1"/>
  <c r="I151" i="1"/>
  <c r="D152" i="1"/>
  <c r="E152" i="1"/>
  <c r="F152" i="1"/>
  <c r="G152" i="1"/>
  <c r="A152" i="1"/>
  <c r="B152" i="1"/>
  <c r="H152" i="1"/>
  <c r="I152" i="1"/>
  <c r="D1539" i="1"/>
  <c r="E1539" i="1"/>
  <c r="F1539" i="1"/>
  <c r="G1539" i="1"/>
  <c r="A1539" i="1"/>
  <c r="B1539" i="1"/>
  <c r="H1539" i="1"/>
  <c r="I1539" i="1"/>
  <c r="D1540" i="1"/>
  <c r="E1540" i="1"/>
  <c r="F1540" i="1"/>
  <c r="G1540" i="1"/>
  <c r="A1540" i="1"/>
  <c r="B1540" i="1"/>
  <c r="H1540" i="1"/>
  <c r="I1540" i="1"/>
  <c r="D1534" i="1"/>
  <c r="E1534" i="1"/>
  <c r="F1534" i="1"/>
  <c r="G1534" i="1"/>
  <c r="A1534" i="1"/>
  <c r="B1534" i="1"/>
  <c r="H1534" i="1"/>
  <c r="I1534" i="1"/>
  <c r="D1164" i="1"/>
  <c r="E1164" i="1"/>
  <c r="F1164" i="1"/>
  <c r="G1164" i="1"/>
  <c r="A1164" i="1"/>
  <c r="B1164" i="1"/>
  <c r="H1164" i="1"/>
  <c r="I1164" i="1"/>
  <c r="D2537" i="1"/>
  <c r="E2537" i="1"/>
  <c r="F2537" i="1"/>
  <c r="G2537" i="1"/>
  <c r="A2537" i="1"/>
  <c r="B2537" i="1"/>
  <c r="H2537" i="1"/>
  <c r="I2537" i="1"/>
  <c r="D1529" i="1"/>
  <c r="E1529" i="1"/>
  <c r="F1529" i="1"/>
  <c r="G1529" i="1"/>
  <c r="A1529" i="1"/>
  <c r="B1529" i="1"/>
  <c r="H1529" i="1"/>
  <c r="I1529" i="1"/>
  <c r="D1531" i="1"/>
  <c r="E1531" i="1"/>
  <c r="F1531" i="1"/>
  <c r="G1531" i="1"/>
  <c r="A1531" i="1"/>
  <c r="B1531" i="1"/>
  <c r="H1531" i="1"/>
  <c r="I1531" i="1"/>
  <c r="D1527" i="1"/>
  <c r="E1527" i="1"/>
  <c r="F1527" i="1"/>
  <c r="G1527" i="1"/>
  <c r="A1527" i="1"/>
  <c r="B1527" i="1"/>
  <c r="H1527" i="1"/>
  <c r="I1527" i="1"/>
  <c r="D307" i="1"/>
  <c r="E307" i="1"/>
  <c r="F307" i="1"/>
  <c r="G307" i="1"/>
  <c r="A307" i="1"/>
  <c r="B307" i="1"/>
  <c r="H307" i="1"/>
  <c r="I307" i="1"/>
  <c r="D1547" i="1"/>
  <c r="E1547" i="1"/>
  <c r="F1547" i="1"/>
  <c r="G1547" i="1"/>
  <c r="A1547" i="1"/>
  <c r="B1547" i="1"/>
  <c r="H1547" i="1"/>
  <c r="I1547" i="1"/>
  <c r="D1528" i="1"/>
  <c r="E1528" i="1"/>
  <c r="F1528" i="1"/>
  <c r="G1528" i="1"/>
  <c r="A1528" i="1"/>
  <c r="B1528" i="1"/>
  <c r="H1528" i="1"/>
  <c r="I1528" i="1"/>
  <c r="D1536" i="1"/>
  <c r="E1536" i="1"/>
  <c r="F1536" i="1"/>
  <c r="G1536" i="1"/>
  <c r="A1536" i="1"/>
  <c r="B1536" i="1"/>
  <c r="H1536" i="1"/>
  <c r="I1536" i="1"/>
  <c r="D308" i="1"/>
  <c r="E308" i="1"/>
  <c r="F308" i="1"/>
  <c r="G308" i="1"/>
  <c r="A308" i="1"/>
  <c r="B308" i="1"/>
  <c r="H308" i="1"/>
  <c r="I308" i="1"/>
  <c r="D1154" i="1"/>
  <c r="E1154" i="1"/>
  <c r="F1154" i="1"/>
  <c r="G1154" i="1"/>
  <c r="A1154" i="1"/>
  <c r="B1154" i="1"/>
  <c r="H1154" i="1"/>
  <c r="I1154" i="1"/>
  <c r="D1155" i="1"/>
  <c r="E1155" i="1"/>
  <c r="F1155" i="1"/>
  <c r="G1155" i="1"/>
  <c r="A1155" i="1"/>
  <c r="B1155" i="1"/>
  <c r="H1155" i="1"/>
  <c r="I1155" i="1"/>
  <c r="D1542" i="1"/>
  <c r="E1542" i="1"/>
  <c r="F1542" i="1"/>
  <c r="G1542" i="1"/>
  <c r="A1542" i="1"/>
  <c r="B1542" i="1"/>
  <c r="H1542" i="1"/>
  <c r="I1542" i="1"/>
  <c r="D1166" i="1"/>
  <c r="E1166" i="1"/>
  <c r="F1166" i="1"/>
  <c r="G1166" i="1"/>
  <c r="A1166" i="1"/>
  <c r="B1166" i="1"/>
  <c r="H1166" i="1"/>
  <c r="I1166" i="1"/>
  <c r="D1556" i="1"/>
  <c r="E1556" i="1"/>
  <c r="F1556" i="1"/>
  <c r="G1556" i="1"/>
  <c r="A1556" i="1"/>
  <c r="B1556" i="1"/>
  <c r="H1556" i="1"/>
  <c r="I1556" i="1"/>
  <c r="D1560" i="1"/>
  <c r="E1560" i="1"/>
  <c r="F1560" i="1"/>
  <c r="G1560" i="1"/>
  <c r="A1560" i="1"/>
  <c r="B1560" i="1"/>
  <c r="H1560" i="1"/>
  <c r="I1560" i="1"/>
  <c r="D1571" i="1"/>
  <c r="E1571" i="1"/>
  <c r="F1571" i="1"/>
  <c r="G1571" i="1"/>
  <c r="A1571" i="1"/>
  <c r="B1571" i="1"/>
  <c r="H1571" i="1"/>
  <c r="I1571" i="1"/>
  <c r="D1552" i="1"/>
  <c r="E1552" i="1"/>
  <c r="F1552" i="1"/>
  <c r="G1552" i="1"/>
  <c r="A1552" i="1"/>
  <c r="B1552" i="1"/>
  <c r="H1552" i="1"/>
  <c r="I1552" i="1"/>
  <c r="D1565" i="1"/>
  <c r="E1565" i="1"/>
  <c r="F1565" i="1"/>
  <c r="G1565" i="1"/>
  <c r="A1565" i="1"/>
  <c r="B1565" i="1"/>
  <c r="H1565" i="1"/>
  <c r="I1565" i="1"/>
  <c r="D3103" i="1"/>
  <c r="E3103" i="1"/>
  <c r="F3103" i="1"/>
  <c r="G3103" i="1"/>
  <c r="A3103" i="1"/>
  <c r="B3103" i="1"/>
  <c r="H3103" i="1"/>
  <c r="I3103" i="1"/>
  <c r="D1572" i="1"/>
  <c r="E1572" i="1"/>
  <c r="F1572" i="1"/>
  <c r="G1572" i="1"/>
  <c r="A1572" i="1"/>
  <c r="B1572" i="1"/>
  <c r="H1572" i="1"/>
  <c r="I1572" i="1"/>
  <c r="D1168" i="1"/>
  <c r="E1168" i="1"/>
  <c r="F1168" i="1"/>
  <c r="G1168" i="1"/>
  <c r="A1168" i="1"/>
  <c r="B1168" i="1"/>
  <c r="H1168" i="1"/>
  <c r="I1168" i="1"/>
  <c r="D1171" i="1"/>
  <c r="E1171" i="1"/>
  <c r="F1171" i="1"/>
  <c r="G1171" i="1"/>
  <c r="A1171" i="1"/>
  <c r="B1171" i="1"/>
  <c r="H1171" i="1"/>
  <c r="I1171" i="1"/>
  <c r="D1554" i="1"/>
  <c r="E1554" i="1"/>
  <c r="F1554" i="1"/>
  <c r="G1554" i="1"/>
  <c r="A1554" i="1"/>
  <c r="B1554" i="1"/>
  <c r="H1554" i="1"/>
  <c r="I1554" i="1"/>
  <c r="D3482" i="1"/>
  <c r="E3482" i="1"/>
  <c r="F3482" i="1"/>
  <c r="G3482" i="1"/>
  <c r="A3482" i="1"/>
  <c r="B3482" i="1"/>
  <c r="H3482" i="1"/>
  <c r="I3482" i="1"/>
  <c r="D1559" i="1"/>
  <c r="E1559" i="1"/>
  <c r="F1559" i="1"/>
  <c r="G1559" i="1"/>
  <c r="A1559" i="1"/>
  <c r="B1559" i="1"/>
  <c r="H1559" i="1"/>
  <c r="I1559" i="1"/>
  <c r="D2448" i="1"/>
  <c r="E2448" i="1"/>
  <c r="F2448" i="1"/>
  <c r="G2448" i="1"/>
  <c r="A2448" i="1"/>
  <c r="B2448" i="1"/>
  <c r="H2448" i="1"/>
  <c r="I2448" i="1"/>
  <c r="D3481" i="1"/>
  <c r="E3481" i="1"/>
  <c r="F3481" i="1"/>
  <c r="G3481" i="1"/>
  <c r="A3481" i="1"/>
  <c r="B3481" i="1"/>
  <c r="H3481" i="1"/>
  <c r="I3481" i="1"/>
  <c r="D1562" i="1"/>
  <c r="E1562" i="1"/>
  <c r="F1562" i="1"/>
  <c r="G1562" i="1"/>
  <c r="A1562" i="1"/>
  <c r="B1562" i="1"/>
  <c r="H1562" i="1"/>
  <c r="I1562" i="1"/>
  <c r="D1563" i="1"/>
  <c r="E1563" i="1"/>
  <c r="F1563" i="1"/>
  <c r="G1563" i="1"/>
  <c r="A1563" i="1"/>
  <c r="B1563" i="1"/>
  <c r="H1563" i="1"/>
  <c r="I1563" i="1"/>
  <c r="D1568" i="1"/>
  <c r="E1568" i="1"/>
  <c r="F1568" i="1"/>
  <c r="G1568" i="1"/>
  <c r="A1568" i="1"/>
  <c r="B1568" i="1"/>
  <c r="H1568" i="1"/>
  <c r="I1568" i="1"/>
  <c r="D2446" i="1"/>
  <c r="E2446" i="1"/>
  <c r="F2446" i="1"/>
  <c r="G2446" i="1"/>
  <c r="A2446" i="1"/>
  <c r="B2446" i="1"/>
  <c r="H2446" i="1"/>
  <c r="I2446" i="1"/>
  <c r="D3113" i="1"/>
  <c r="E3113" i="1"/>
  <c r="F3113" i="1"/>
  <c r="G3113" i="1"/>
  <c r="A3113" i="1"/>
  <c r="B3113" i="1"/>
  <c r="H3113" i="1"/>
  <c r="I3113" i="1"/>
  <c r="D3227" i="1"/>
  <c r="E3227" i="1"/>
  <c r="F3227" i="1"/>
  <c r="G3227" i="1"/>
  <c r="A3227" i="1"/>
  <c r="B3227" i="1"/>
  <c r="H3227" i="1"/>
  <c r="I3227" i="1"/>
  <c r="D1570" i="1"/>
  <c r="E1570" i="1"/>
  <c r="F1570" i="1"/>
  <c r="G1570" i="1"/>
  <c r="A1570" i="1"/>
  <c r="B1570" i="1"/>
  <c r="H1570" i="1"/>
  <c r="I1570" i="1"/>
  <c r="D1169" i="1"/>
  <c r="E1169" i="1"/>
  <c r="F1169" i="1"/>
  <c r="G1169" i="1"/>
  <c r="A1169" i="1"/>
  <c r="B1169" i="1"/>
  <c r="H1169" i="1"/>
  <c r="I1169" i="1"/>
  <c r="D1561" i="1"/>
  <c r="E1561" i="1"/>
  <c r="F1561" i="1"/>
  <c r="G1561" i="1"/>
  <c r="A1561" i="1"/>
  <c r="B1561" i="1"/>
  <c r="H1561" i="1"/>
  <c r="I1561" i="1"/>
  <c r="D3299" i="1"/>
  <c r="E3299" i="1"/>
  <c r="F3299" i="1"/>
  <c r="G3299" i="1"/>
  <c r="A3299" i="1"/>
  <c r="B3299" i="1"/>
  <c r="H3299" i="1"/>
  <c r="I3299" i="1"/>
  <c r="D1555" i="1"/>
  <c r="E1555" i="1"/>
  <c r="F1555" i="1"/>
  <c r="G1555" i="1"/>
  <c r="A1555" i="1"/>
  <c r="B1555" i="1"/>
  <c r="H1555" i="1"/>
  <c r="I1555" i="1"/>
  <c r="D1569" i="1"/>
  <c r="E1569" i="1"/>
  <c r="F1569" i="1"/>
  <c r="G1569" i="1"/>
  <c r="A1569" i="1"/>
  <c r="B1569" i="1"/>
  <c r="H1569" i="1"/>
  <c r="I1569" i="1"/>
  <c r="D1566" i="1"/>
  <c r="E1566" i="1"/>
  <c r="F1566" i="1"/>
  <c r="G1566" i="1"/>
  <c r="A1566" i="1"/>
  <c r="B1566" i="1"/>
  <c r="H1566" i="1"/>
  <c r="I1566" i="1"/>
  <c r="D1558" i="1"/>
  <c r="E1558" i="1"/>
  <c r="F1558" i="1"/>
  <c r="G1558" i="1"/>
  <c r="A1558" i="1"/>
  <c r="B1558" i="1"/>
  <c r="H1558" i="1"/>
  <c r="I1558" i="1"/>
  <c r="D2809" i="1"/>
  <c r="E2809" i="1"/>
  <c r="F2809" i="1"/>
  <c r="G2809" i="1"/>
  <c r="A2809" i="1"/>
  <c r="B2809" i="1"/>
  <c r="H2809" i="1"/>
  <c r="I2809" i="1"/>
  <c r="D1170" i="1"/>
  <c r="E1170" i="1"/>
  <c r="F1170" i="1"/>
  <c r="G1170" i="1"/>
  <c r="A1170" i="1"/>
  <c r="B1170" i="1"/>
  <c r="H1170" i="1"/>
  <c r="I1170" i="1"/>
  <c r="D1564" i="1"/>
  <c r="E1564" i="1"/>
  <c r="F1564" i="1"/>
  <c r="G1564" i="1"/>
  <c r="A1564" i="1"/>
  <c r="B1564" i="1"/>
  <c r="H1564" i="1"/>
  <c r="I1564" i="1"/>
  <c r="D3112" i="1"/>
  <c r="E3112" i="1"/>
  <c r="F3112" i="1"/>
  <c r="G3112" i="1"/>
  <c r="A3112" i="1"/>
  <c r="B3112" i="1"/>
  <c r="H3112" i="1"/>
  <c r="I3112" i="1"/>
  <c r="D3300" i="1"/>
  <c r="E3300" i="1"/>
  <c r="F3300" i="1"/>
  <c r="G3300" i="1"/>
  <c r="A3300" i="1"/>
  <c r="B3300" i="1"/>
  <c r="H3300" i="1"/>
  <c r="I3300" i="1"/>
  <c r="D3313" i="1"/>
  <c r="E3313" i="1"/>
  <c r="F3313" i="1"/>
  <c r="G3313" i="1"/>
  <c r="A3313" i="1"/>
  <c r="B3313" i="1"/>
  <c r="H3313" i="1"/>
  <c r="I3313" i="1"/>
  <c r="D1553" i="1"/>
  <c r="E1553" i="1"/>
  <c r="F1553" i="1"/>
  <c r="G1553" i="1"/>
  <c r="A1553" i="1"/>
  <c r="B1553" i="1"/>
  <c r="H1553" i="1"/>
  <c r="I1553" i="1"/>
  <c r="D1557" i="1"/>
  <c r="E1557" i="1"/>
  <c r="F1557" i="1"/>
  <c r="G1557" i="1"/>
  <c r="A1557" i="1"/>
  <c r="B1557" i="1"/>
  <c r="H1557" i="1"/>
  <c r="I1557" i="1"/>
  <c r="D2447" i="1"/>
  <c r="E2447" i="1"/>
  <c r="F2447" i="1"/>
  <c r="G2447" i="1"/>
  <c r="A2447" i="1"/>
  <c r="B2447" i="1"/>
  <c r="H2447" i="1"/>
  <c r="I2447" i="1"/>
  <c r="D3341" i="1"/>
  <c r="E3341" i="1"/>
  <c r="F3341" i="1"/>
  <c r="G3341" i="1"/>
  <c r="A3341" i="1"/>
  <c r="B3341" i="1"/>
  <c r="H3341" i="1"/>
  <c r="I3341" i="1"/>
  <c r="D92" i="1"/>
  <c r="E92" i="1"/>
  <c r="F92" i="1"/>
  <c r="G92" i="1"/>
  <c r="A92" i="1"/>
  <c r="B92" i="1"/>
  <c r="H92" i="1"/>
  <c r="I92" i="1"/>
  <c r="D3342" i="1"/>
  <c r="E3342" i="1"/>
  <c r="F3342" i="1"/>
  <c r="G3342" i="1"/>
  <c r="A3342" i="1"/>
  <c r="B3342" i="1"/>
  <c r="H3342" i="1"/>
  <c r="I3342" i="1"/>
  <c r="D1567" i="1"/>
  <c r="E1567" i="1"/>
  <c r="F1567" i="1"/>
  <c r="G1567" i="1"/>
  <c r="A1567" i="1"/>
  <c r="B1567" i="1"/>
  <c r="H1567" i="1"/>
  <c r="I1567" i="1"/>
  <c r="D1167" i="1"/>
  <c r="E1167" i="1"/>
  <c r="F1167" i="1"/>
  <c r="G1167" i="1"/>
  <c r="A1167" i="1"/>
  <c r="B1167" i="1"/>
  <c r="H1167" i="1"/>
  <c r="I1167" i="1"/>
  <c r="D686" i="1"/>
  <c r="E686" i="1"/>
  <c r="F686" i="1"/>
  <c r="G686" i="1"/>
  <c r="A686" i="1"/>
  <c r="B686" i="1"/>
  <c r="H686" i="1"/>
  <c r="I686" i="1"/>
  <c r="D687" i="1"/>
  <c r="E687" i="1"/>
  <c r="F687" i="1"/>
  <c r="G687" i="1"/>
  <c r="A687" i="1"/>
  <c r="B687" i="1"/>
  <c r="H687" i="1"/>
  <c r="I687" i="1"/>
  <c r="D667" i="1"/>
  <c r="E667" i="1"/>
  <c r="F667" i="1"/>
  <c r="G667" i="1"/>
  <c r="A667" i="1"/>
  <c r="B667" i="1"/>
  <c r="H667" i="1"/>
  <c r="I667" i="1"/>
  <c r="D629" i="1"/>
  <c r="E629" i="1"/>
  <c r="F629" i="1"/>
  <c r="G629" i="1"/>
  <c r="A629" i="1"/>
  <c r="B629" i="1"/>
  <c r="H629" i="1"/>
  <c r="I629" i="1"/>
  <c r="D630" i="1"/>
  <c r="E630" i="1"/>
  <c r="F630" i="1"/>
  <c r="G630" i="1"/>
  <c r="A630" i="1"/>
  <c r="B630" i="1"/>
  <c r="H630" i="1"/>
  <c r="I630" i="1"/>
  <c r="D631" i="1"/>
  <c r="E631" i="1"/>
  <c r="F631" i="1"/>
  <c r="G631" i="1"/>
  <c r="A631" i="1"/>
  <c r="B631" i="1"/>
  <c r="H631" i="1"/>
  <c r="I631" i="1"/>
  <c r="D692" i="1"/>
  <c r="E692" i="1"/>
  <c r="F692" i="1"/>
  <c r="G692" i="1"/>
  <c r="A692" i="1"/>
  <c r="B692" i="1"/>
  <c r="H692" i="1"/>
  <c r="I692" i="1"/>
  <c r="D1587" i="1"/>
  <c r="E1587" i="1"/>
  <c r="F1587" i="1"/>
  <c r="G1587" i="1"/>
  <c r="A1587" i="1"/>
  <c r="B1587" i="1"/>
  <c r="H1587" i="1"/>
  <c r="I1587" i="1"/>
  <c r="D1592" i="1"/>
  <c r="E1592" i="1"/>
  <c r="F1592" i="1"/>
  <c r="G1592" i="1"/>
  <c r="A1592" i="1"/>
  <c r="B1592" i="1"/>
  <c r="H1592" i="1"/>
  <c r="I1592" i="1"/>
  <c r="D3201" i="1"/>
  <c r="E3201" i="1"/>
  <c r="F3201" i="1"/>
  <c r="G3201" i="1"/>
  <c r="A3201" i="1"/>
  <c r="B3201" i="1"/>
  <c r="H3201" i="1"/>
  <c r="I3201" i="1"/>
  <c r="D2603" i="1"/>
  <c r="E2603" i="1"/>
  <c r="F2603" i="1"/>
  <c r="G2603" i="1"/>
  <c r="A2603" i="1"/>
  <c r="B2603" i="1"/>
  <c r="H2603" i="1"/>
  <c r="I2603" i="1"/>
  <c r="D3077" i="1"/>
  <c r="E3077" i="1"/>
  <c r="F3077" i="1"/>
  <c r="G3077" i="1"/>
  <c r="A3077" i="1"/>
  <c r="B3077" i="1"/>
  <c r="H3077" i="1"/>
  <c r="I3077" i="1"/>
  <c r="D3078" i="1"/>
  <c r="E3078" i="1"/>
  <c r="F3078" i="1"/>
  <c r="G3078" i="1"/>
  <c r="A3078" i="1"/>
  <c r="B3078" i="1"/>
  <c r="H3078" i="1"/>
  <c r="I3078" i="1"/>
  <c r="D1284" i="1"/>
  <c r="E1284" i="1"/>
  <c r="F1284" i="1"/>
  <c r="G1284" i="1"/>
  <c r="A1284" i="1"/>
  <c r="B1284" i="1"/>
  <c r="H1284" i="1"/>
  <c r="I1284" i="1"/>
  <c r="D1289" i="1"/>
  <c r="E1289" i="1"/>
  <c r="F1289" i="1"/>
  <c r="G1289" i="1"/>
  <c r="A1289" i="1"/>
  <c r="B1289" i="1"/>
  <c r="H1289" i="1"/>
  <c r="I1289" i="1"/>
  <c r="D1614" i="1"/>
  <c r="E1614" i="1"/>
  <c r="F1614" i="1"/>
  <c r="G1614" i="1"/>
  <c r="A1614" i="1"/>
  <c r="B1614" i="1"/>
  <c r="H1614" i="1"/>
  <c r="I1614" i="1"/>
  <c r="D680" i="1"/>
  <c r="E680" i="1"/>
  <c r="F680" i="1"/>
  <c r="G680" i="1"/>
  <c r="A680" i="1"/>
  <c r="B680" i="1"/>
  <c r="H680" i="1"/>
  <c r="I680" i="1"/>
  <c r="D1621" i="1"/>
  <c r="E1621" i="1"/>
  <c r="F1621" i="1"/>
  <c r="G1621" i="1"/>
  <c r="A1621" i="1"/>
  <c r="B1621" i="1"/>
  <c r="H1621" i="1"/>
  <c r="I1621" i="1"/>
  <c r="D638" i="1"/>
  <c r="E638" i="1"/>
  <c r="F638" i="1"/>
  <c r="G638" i="1"/>
  <c r="A638" i="1"/>
  <c r="B638" i="1"/>
  <c r="H638" i="1"/>
  <c r="I638" i="1"/>
  <c r="D1577" i="1"/>
  <c r="E1577" i="1"/>
  <c r="F1577" i="1"/>
  <c r="G1577" i="1"/>
  <c r="A1577" i="1"/>
  <c r="B1577" i="1"/>
  <c r="H1577" i="1"/>
  <c r="I1577" i="1"/>
  <c r="D685" i="1"/>
  <c r="E685" i="1"/>
  <c r="F685" i="1"/>
  <c r="G685" i="1"/>
  <c r="A685" i="1"/>
  <c r="B685" i="1"/>
  <c r="H685" i="1"/>
  <c r="I685" i="1"/>
  <c r="D623" i="1"/>
  <c r="E623" i="1"/>
  <c r="F623" i="1"/>
  <c r="G623" i="1"/>
  <c r="A623" i="1"/>
  <c r="B623" i="1"/>
  <c r="H623" i="1"/>
  <c r="I623" i="1"/>
  <c r="D3515" i="1"/>
  <c r="E3515" i="1"/>
  <c r="F3515" i="1"/>
  <c r="G3515" i="1"/>
  <c r="A3515" i="1"/>
  <c r="B3515" i="1"/>
  <c r="H3515" i="1"/>
  <c r="I3515" i="1"/>
  <c r="D366" i="1"/>
  <c r="E366" i="1"/>
  <c r="F366" i="1"/>
  <c r="G366" i="1"/>
  <c r="A366" i="1"/>
  <c r="B366" i="1"/>
  <c r="H366" i="1"/>
  <c r="I366" i="1"/>
  <c r="D1576" i="1"/>
  <c r="E1576" i="1"/>
  <c r="F1576" i="1"/>
  <c r="G1576" i="1"/>
  <c r="A1576" i="1"/>
  <c r="B1576" i="1"/>
  <c r="H1576" i="1"/>
  <c r="I1576" i="1"/>
  <c r="D688" i="1"/>
  <c r="E688" i="1"/>
  <c r="F688" i="1"/>
  <c r="G688" i="1"/>
  <c r="A688" i="1"/>
  <c r="B688" i="1"/>
  <c r="H688" i="1"/>
  <c r="I688" i="1"/>
  <c r="D1308" i="1"/>
  <c r="E1308" i="1"/>
  <c r="F1308" i="1"/>
  <c r="G1308" i="1"/>
  <c r="A1308" i="1"/>
  <c r="B1308" i="1"/>
  <c r="H1308" i="1"/>
  <c r="I1308" i="1"/>
  <c r="D1593" i="1"/>
  <c r="E1593" i="1"/>
  <c r="F1593" i="1"/>
  <c r="G1593" i="1"/>
  <c r="A1593" i="1"/>
  <c r="B1593" i="1"/>
  <c r="H1593" i="1"/>
  <c r="I1593" i="1"/>
  <c r="D3516" i="1"/>
  <c r="E3516" i="1"/>
  <c r="F3516" i="1"/>
  <c r="G3516" i="1"/>
  <c r="A3516" i="1"/>
  <c r="B3516" i="1"/>
  <c r="H3516" i="1"/>
  <c r="I3516" i="1"/>
  <c r="D665" i="1"/>
  <c r="E665" i="1"/>
  <c r="F665" i="1"/>
  <c r="G665" i="1"/>
  <c r="A665" i="1"/>
  <c r="B665" i="1"/>
  <c r="H665" i="1"/>
  <c r="I665" i="1"/>
  <c r="D1299" i="1"/>
  <c r="E1299" i="1"/>
  <c r="F1299" i="1"/>
  <c r="G1299" i="1"/>
  <c r="A1299" i="1"/>
  <c r="B1299" i="1"/>
  <c r="H1299" i="1"/>
  <c r="I1299" i="1"/>
  <c r="D1307" i="1"/>
  <c r="E1307" i="1"/>
  <c r="F1307" i="1"/>
  <c r="G1307" i="1"/>
  <c r="A1307" i="1"/>
  <c r="B1307" i="1"/>
  <c r="H1307" i="1"/>
  <c r="I1307" i="1"/>
  <c r="D1311" i="1"/>
  <c r="E1311" i="1"/>
  <c r="F1311" i="1"/>
  <c r="G1311" i="1"/>
  <c r="A1311" i="1"/>
  <c r="B1311" i="1"/>
  <c r="H1311" i="1"/>
  <c r="I1311" i="1"/>
  <c r="D1617" i="1"/>
  <c r="E1617" i="1"/>
  <c r="F1617" i="1"/>
  <c r="G1617" i="1"/>
  <c r="A1617" i="1"/>
  <c r="B1617" i="1"/>
  <c r="H1617" i="1"/>
  <c r="I1617" i="1"/>
  <c r="D1597" i="1"/>
  <c r="E1597" i="1"/>
  <c r="F1597" i="1"/>
  <c r="G1597" i="1"/>
  <c r="A1597" i="1"/>
  <c r="B1597" i="1"/>
  <c r="H1597" i="1"/>
  <c r="I1597" i="1"/>
  <c r="D1598" i="1"/>
  <c r="E1598" i="1"/>
  <c r="F1598" i="1"/>
  <c r="G1598" i="1"/>
  <c r="A1598" i="1"/>
  <c r="B1598" i="1"/>
  <c r="H1598" i="1"/>
  <c r="I1598" i="1"/>
  <c r="D621" i="1"/>
  <c r="E621" i="1"/>
  <c r="F621" i="1"/>
  <c r="G621" i="1"/>
  <c r="A621" i="1"/>
  <c r="B621" i="1"/>
  <c r="H621" i="1"/>
  <c r="I621" i="1"/>
  <c r="D1293" i="1"/>
  <c r="E1293" i="1"/>
  <c r="F1293" i="1"/>
  <c r="G1293" i="1"/>
  <c r="A1293" i="1"/>
  <c r="B1293" i="1"/>
  <c r="H1293" i="1"/>
  <c r="I1293" i="1"/>
  <c r="D3244" i="1"/>
  <c r="E3244" i="1"/>
  <c r="F3244" i="1"/>
  <c r="G3244" i="1"/>
  <c r="A3244" i="1"/>
  <c r="B3244" i="1"/>
  <c r="H3244" i="1"/>
  <c r="I3244" i="1"/>
  <c r="D634" i="1"/>
  <c r="E634" i="1"/>
  <c r="F634" i="1"/>
  <c r="G634" i="1"/>
  <c r="A634" i="1"/>
  <c r="B634" i="1"/>
  <c r="H634" i="1"/>
  <c r="I634" i="1"/>
  <c r="D1060" i="1"/>
  <c r="E1060" i="1"/>
  <c r="F1060" i="1"/>
  <c r="G1060" i="1"/>
  <c r="A1060" i="1"/>
  <c r="B1060" i="1"/>
  <c r="H1060" i="1"/>
  <c r="I1060" i="1"/>
  <c r="D674" i="1"/>
  <c r="E674" i="1"/>
  <c r="F674" i="1"/>
  <c r="G674" i="1"/>
  <c r="A674" i="1"/>
  <c r="B674" i="1"/>
  <c r="H674" i="1"/>
  <c r="I674" i="1"/>
  <c r="D656" i="1"/>
  <c r="E656" i="1"/>
  <c r="F656" i="1"/>
  <c r="G656" i="1"/>
  <c r="A656" i="1"/>
  <c r="B656" i="1"/>
  <c r="H656" i="1"/>
  <c r="I656" i="1"/>
  <c r="D1584" i="1"/>
  <c r="E1584" i="1"/>
  <c r="F1584" i="1"/>
  <c r="G1584" i="1"/>
  <c r="A1584" i="1"/>
  <c r="B1584" i="1"/>
  <c r="H1584" i="1"/>
  <c r="I1584" i="1"/>
  <c r="D1594" i="1"/>
  <c r="E1594" i="1"/>
  <c r="F1594" i="1"/>
  <c r="G1594" i="1"/>
  <c r="A1594" i="1"/>
  <c r="B1594" i="1"/>
  <c r="H1594" i="1"/>
  <c r="I1594" i="1"/>
  <c r="D1312" i="1"/>
  <c r="E1312" i="1"/>
  <c r="F1312" i="1"/>
  <c r="G1312" i="1"/>
  <c r="A1312" i="1"/>
  <c r="B1312" i="1"/>
  <c r="H1312" i="1"/>
  <c r="I1312" i="1"/>
  <c r="D2593" i="1"/>
  <c r="E2593" i="1"/>
  <c r="F2593" i="1"/>
  <c r="G2593" i="1"/>
  <c r="A2593" i="1"/>
  <c r="B2593" i="1"/>
  <c r="H2593" i="1"/>
  <c r="I2593" i="1"/>
  <c r="D3372" i="1"/>
  <c r="E3372" i="1"/>
  <c r="F3372" i="1"/>
  <c r="G3372" i="1"/>
  <c r="A3372" i="1"/>
  <c r="B3372" i="1"/>
  <c r="H3372" i="1"/>
  <c r="I3372" i="1"/>
  <c r="D768" i="1"/>
  <c r="E768" i="1"/>
  <c r="F768" i="1"/>
  <c r="G768" i="1"/>
  <c r="A768" i="1"/>
  <c r="B768" i="1"/>
  <c r="H768" i="1"/>
  <c r="I768" i="1"/>
  <c r="D3519" i="1"/>
  <c r="E3519" i="1"/>
  <c r="F3519" i="1"/>
  <c r="G3519" i="1"/>
  <c r="A3519" i="1"/>
  <c r="B3519" i="1"/>
  <c r="H3519" i="1"/>
  <c r="I3519" i="1"/>
  <c r="D1602" i="1"/>
  <c r="E1602" i="1"/>
  <c r="F1602" i="1"/>
  <c r="G1602" i="1"/>
  <c r="A1602" i="1"/>
  <c r="B1602" i="1"/>
  <c r="H1602" i="1"/>
  <c r="I1602" i="1"/>
  <c r="D1586" i="1"/>
  <c r="E1586" i="1"/>
  <c r="F1586" i="1"/>
  <c r="G1586" i="1"/>
  <c r="A1586" i="1"/>
  <c r="B1586" i="1"/>
  <c r="H1586" i="1"/>
  <c r="I1586" i="1"/>
  <c r="D1590" i="1"/>
  <c r="E1590" i="1"/>
  <c r="F1590" i="1"/>
  <c r="G1590" i="1"/>
  <c r="A1590" i="1"/>
  <c r="B1590" i="1"/>
  <c r="H1590" i="1"/>
  <c r="I1590" i="1"/>
  <c r="D1595" i="1"/>
  <c r="E1595" i="1"/>
  <c r="F1595" i="1"/>
  <c r="G1595" i="1"/>
  <c r="A1595" i="1"/>
  <c r="B1595" i="1"/>
  <c r="H1595" i="1"/>
  <c r="I1595" i="1"/>
  <c r="D3523" i="1"/>
  <c r="E3523" i="1"/>
  <c r="F3523" i="1"/>
  <c r="G3523" i="1"/>
  <c r="A3523" i="1"/>
  <c r="B3523" i="1"/>
  <c r="H3523" i="1"/>
  <c r="I3523" i="1"/>
  <c r="D1585" i="1"/>
  <c r="E1585" i="1"/>
  <c r="F1585" i="1"/>
  <c r="G1585" i="1"/>
  <c r="A1585" i="1"/>
  <c r="B1585" i="1"/>
  <c r="H1585" i="1"/>
  <c r="I1585" i="1"/>
  <c r="D368" i="1"/>
  <c r="E368" i="1"/>
  <c r="F368" i="1"/>
  <c r="G368" i="1"/>
  <c r="A368" i="1"/>
  <c r="B368" i="1"/>
  <c r="H368" i="1"/>
  <c r="I368" i="1"/>
  <c r="D1601" i="1"/>
  <c r="E1601" i="1"/>
  <c r="F1601" i="1"/>
  <c r="G1601" i="1"/>
  <c r="A1601" i="1"/>
  <c r="B1601" i="1"/>
  <c r="H1601" i="1"/>
  <c r="I1601" i="1"/>
  <c r="D689" i="1"/>
  <c r="E689" i="1"/>
  <c r="F689" i="1"/>
  <c r="G689" i="1"/>
  <c r="A689" i="1"/>
  <c r="B689" i="1"/>
  <c r="H689" i="1"/>
  <c r="I689" i="1"/>
  <c r="D3368" i="1"/>
  <c r="E3368" i="1"/>
  <c r="F3368" i="1"/>
  <c r="G3368" i="1"/>
  <c r="A3368" i="1"/>
  <c r="B3368" i="1"/>
  <c r="H3368" i="1"/>
  <c r="I3368" i="1"/>
  <c r="D1302" i="1"/>
  <c r="E1302" i="1"/>
  <c r="F1302" i="1"/>
  <c r="G1302" i="1"/>
  <c r="A1302" i="1"/>
  <c r="B1302" i="1"/>
  <c r="H1302" i="1"/>
  <c r="I1302" i="1"/>
  <c r="D669" i="1"/>
  <c r="E669" i="1"/>
  <c r="F669" i="1"/>
  <c r="G669" i="1"/>
  <c r="A669" i="1"/>
  <c r="B669" i="1"/>
  <c r="H669" i="1"/>
  <c r="I669" i="1"/>
  <c r="D2569" i="1"/>
  <c r="E2569" i="1"/>
  <c r="F2569" i="1"/>
  <c r="G2569" i="1"/>
  <c r="A2569" i="1"/>
  <c r="B2569" i="1"/>
  <c r="H2569" i="1"/>
  <c r="I2569" i="1"/>
  <c r="D1283" i="1"/>
  <c r="E1283" i="1"/>
  <c r="F1283" i="1"/>
  <c r="G1283" i="1"/>
  <c r="A1283" i="1"/>
  <c r="B1283" i="1"/>
  <c r="H1283" i="1"/>
  <c r="I1283" i="1"/>
  <c r="D3370" i="1"/>
  <c r="E3370" i="1"/>
  <c r="F3370" i="1"/>
  <c r="G3370" i="1"/>
  <c r="A3370" i="1"/>
  <c r="B3370" i="1"/>
  <c r="H3370" i="1"/>
  <c r="I3370" i="1"/>
  <c r="D3090" i="1"/>
  <c r="E3090" i="1"/>
  <c r="F3090" i="1"/>
  <c r="G3090" i="1"/>
  <c r="A3090" i="1"/>
  <c r="B3090" i="1"/>
  <c r="H3090" i="1"/>
  <c r="I3090" i="1"/>
  <c r="D1581" i="1"/>
  <c r="E1581" i="1"/>
  <c r="F1581" i="1"/>
  <c r="G1581" i="1"/>
  <c r="A1581" i="1"/>
  <c r="B1581" i="1"/>
  <c r="H1581" i="1"/>
  <c r="I1581" i="1"/>
  <c r="D649" i="1"/>
  <c r="E649" i="1"/>
  <c r="F649" i="1"/>
  <c r="G649" i="1"/>
  <c r="A649" i="1"/>
  <c r="B649" i="1"/>
  <c r="H649" i="1"/>
  <c r="I649" i="1"/>
  <c r="D650" i="1"/>
  <c r="E650" i="1"/>
  <c r="F650" i="1"/>
  <c r="G650" i="1"/>
  <c r="A650" i="1"/>
  <c r="B650" i="1"/>
  <c r="H650" i="1"/>
  <c r="I650" i="1"/>
  <c r="D1816" i="1"/>
  <c r="E1816" i="1"/>
  <c r="F1816" i="1"/>
  <c r="G1816" i="1"/>
  <c r="A1816" i="1"/>
  <c r="B1816" i="1"/>
  <c r="H1816" i="1"/>
  <c r="I1816" i="1"/>
  <c r="D624" i="1"/>
  <c r="E624" i="1"/>
  <c r="F624" i="1"/>
  <c r="G624" i="1"/>
  <c r="A624" i="1"/>
  <c r="B624" i="1"/>
  <c r="H624" i="1"/>
  <c r="I624" i="1"/>
  <c r="D664" i="1"/>
  <c r="E664" i="1"/>
  <c r="F664" i="1"/>
  <c r="G664" i="1"/>
  <c r="A664" i="1"/>
  <c r="B664" i="1"/>
  <c r="H664" i="1"/>
  <c r="I664" i="1"/>
  <c r="D772" i="1"/>
  <c r="E772" i="1"/>
  <c r="F772" i="1"/>
  <c r="G772" i="1"/>
  <c r="A772" i="1"/>
  <c r="B772" i="1"/>
  <c r="H772" i="1"/>
  <c r="I772" i="1"/>
  <c r="D1061" i="1"/>
  <c r="E1061" i="1"/>
  <c r="F1061" i="1"/>
  <c r="G1061" i="1"/>
  <c r="A1061" i="1"/>
  <c r="B1061" i="1"/>
  <c r="H1061" i="1"/>
  <c r="I1061" i="1"/>
  <c r="D668" i="1"/>
  <c r="E668" i="1"/>
  <c r="F668" i="1"/>
  <c r="G668" i="1"/>
  <c r="A668" i="1"/>
  <c r="B668" i="1"/>
  <c r="H668" i="1"/>
  <c r="I668" i="1"/>
  <c r="D670" i="1"/>
  <c r="E670" i="1"/>
  <c r="F670" i="1"/>
  <c r="G670" i="1"/>
  <c r="A670" i="1"/>
  <c r="B670" i="1"/>
  <c r="H670" i="1"/>
  <c r="I670" i="1"/>
  <c r="D1579" i="1"/>
  <c r="E1579" i="1"/>
  <c r="F1579" i="1"/>
  <c r="G1579" i="1"/>
  <c r="A1579" i="1"/>
  <c r="B1579" i="1"/>
  <c r="H1579" i="1"/>
  <c r="I1579" i="1"/>
  <c r="D696" i="1"/>
  <c r="E696" i="1"/>
  <c r="F696" i="1"/>
  <c r="G696" i="1"/>
  <c r="A696" i="1"/>
  <c r="B696" i="1"/>
  <c r="H696" i="1"/>
  <c r="I696" i="1"/>
  <c r="D697" i="1"/>
  <c r="E697" i="1"/>
  <c r="F697" i="1"/>
  <c r="G697" i="1"/>
  <c r="A697" i="1"/>
  <c r="B697" i="1"/>
  <c r="H697" i="1"/>
  <c r="I697" i="1"/>
  <c r="D698" i="1"/>
  <c r="E698" i="1"/>
  <c r="F698" i="1"/>
  <c r="G698" i="1"/>
  <c r="A698" i="1"/>
  <c r="B698" i="1"/>
  <c r="H698" i="1"/>
  <c r="I698" i="1"/>
  <c r="D3529" i="1"/>
  <c r="E3529" i="1"/>
  <c r="F3529" i="1"/>
  <c r="G3529" i="1"/>
  <c r="A3529" i="1"/>
  <c r="B3529" i="1"/>
  <c r="H3529" i="1"/>
  <c r="I3529" i="1"/>
  <c r="D699" i="1"/>
  <c r="E699" i="1"/>
  <c r="F699" i="1"/>
  <c r="G699" i="1"/>
  <c r="A699" i="1"/>
  <c r="B699" i="1"/>
  <c r="H699" i="1"/>
  <c r="I699" i="1"/>
  <c r="D678" i="1"/>
  <c r="E678" i="1"/>
  <c r="F678" i="1"/>
  <c r="G678" i="1"/>
  <c r="A678" i="1"/>
  <c r="B678" i="1"/>
  <c r="H678" i="1"/>
  <c r="I678" i="1"/>
  <c r="D1314" i="1"/>
  <c r="E1314" i="1"/>
  <c r="F1314" i="1"/>
  <c r="G1314" i="1"/>
  <c r="A1314" i="1"/>
  <c r="B1314" i="1"/>
  <c r="H1314" i="1"/>
  <c r="I1314" i="1"/>
  <c r="D1316" i="1"/>
  <c r="E1316" i="1"/>
  <c r="F1316" i="1"/>
  <c r="G1316" i="1"/>
  <c r="A1316" i="1"/>
  <c r="B1316" i="1"/>
  <c r="H1316" i="1"/>
  <c r="I1316" i="1"/>
  <c r="D1276" i="1"/>
  <c r="E1276" i="1"/>
  <c r="F1276" i="1"/>
  <c r="G1276" i="1"/>
  <c r="A1276" i="1"/>
  <c r="B1276" i="1"/>
  <c r="H1276" i="1"/>
  <c r="I1276" i="1"/>
  <c r="D1277" i="1"/>
  <c r="E1277" i="1"/>
  <c r="F1277" i="1"/>
  <c r="G1277" i="1"/>
  <c r="A1277" i="1"/>
  <c r="B1277" i="1"/>
  <c r="H1277" i="1"/>
  <c r="I1277" i="1"/>
  <c r="D1627" i="1"/>
  <c r="E1627" i="1"/>
  <c r="F1627" i="1"/>
  <c r="G1627" i="1"/>
  <c r="A1627" i="1"/>
  <c r="B1627" i="1"/>
  <c r="H1627" i="1"/>
  <c r="I1627" i="1"/>
  <c r="D3202" i="1"/>
  <c r="E3202" i="1"/>
  <c r="F3202" i="1"/>
  <c r="G3202" i="1"/>
  <c r="A3202" i="1"/>
  <c r="B3202" i="1"/>
  <c r="H3202" i="1"/>
  <c r="I3202" i="1"/>
  <c r="D3208" i="1"/>
  <c r="E3208" i="1"/>
  <c r="F3208" i="1"/>
  <c r="G3208" i="1"/>
  <c r="A3208" i="1"/>
  <c r="B3208" i="1"/>
  <c r="H3208" i="1"/>
  <c r="I3208" i="1"/>
  <c r="D1981" i="1"/>
  <c r="E1981" i="1"/>
  <c r="F1981" i="1"/>
  <c r="G1981" i="1"/>
  <c r="A1981" i="1"/>
  <c r="B1981" i="1"/>
  <c r="H1981" i="1"/>
  <c r="I1981" i="1"/>
  <c r="D2388" i="1"/>
  <c r="E2388" i="1"/>
  <c r="F2388" i="1"/>
  <c r="G2388" i="1"/>
  <c r="A2388" i="1"/>
  <c r="B2388" i="1"/>
  <c r="H2388" i="1"/>
  <c r="I2388" i="1"/>
  <c r="D653" i="1"/>
  <c r="E653" i="1"/>
  <c r="F653" i="1"/>
  <c r="G653" i="1"/>
  <c r="A653" i="1"/>
  <c r="B653" i="1"/>
  <c r="H653" i="1"/>
  <c r="I653" i="1"/>
  <c r="D3520" i="1"/>
  <c r="E3520" i="1"/>
  <c r="F3520" i="1"/>
  <c r="G3520" i="1"/>
  <c r="A3520" i="1"/>
  <c r="B3520" i="1"/>
  <c r="H3520" i="1"/>
  <c r="I3520" i="1"/>
  <c r="D3291" i="1"/>
  <c r="E3291" i="1"/>
  <c r="F3291" i="1"/>
  <c r="G3291" i="1"/>
  <c r="A3291" i="1"/>
  <c r="B3291" i="1"/>
  <c r="H3291" i="1"/>
  <c r="I3291" i="1"/>
  <c r="D2521" i="1"/>
  <c r="E2521" i="1"/>
  <c r="F2521" i="1"/>
  <c r="G2521" i="1"/>
  <c r="A2521" i="1"/>
  <c r="B2521" i="1"/>
  <c r="H2521" i="1"/>
  <c r="I2521" i="1"/>
  <c r="D654" i="1"/>
  <c r="E654" i="1"/>
  <c r="F654" i="1"/>
  <c r="G654" i="1"/>
  <c r="A654" i="1"/>
  <c r="B654" i="1"/>
  <c r="H654" i="1"/>
  <c r="I654" i="1"/>
  <c r="D2801" i="1"/>
  <c r="E2801" i="1"/>
  <c r="F2801" i="1"/>
  <c r="G2801" i="1"/>
  <c r="A2801" i="1"/>
  <c r="B2801" i="1"/>
  <c r="H2801" i="1"/>
  <c r="I2801" i="1"/>
  <c r="D1339" i="1"/>
  <c r="E1339" i="1"/>
  <c r="F1339" i="1"/>
  <c r="G1339" i="1"/>
  <c r="A1339" i="1"/>
  <c r="B1339" i="1"/>
  <c r="H1339" i="1"/>
  <c r="I1339" i="1"/>
  <c r="D671" i="1"/>
  <c r="E671" i="1"/>
  <c r="F671" i="1"/>
  <c r="G671" i="1"/>
  <c r="A671" i="1"/>
  <c r="B671" i="1"/>
  <c r="H671" i="1"/>
  <c r="I671" i="1"/>
  <c r="D1340" i="1"/>
  <c r="E1340" i="1"/>
  <c r="F1340" i="1"/>
  <c r="G1340" i="1"/>
  <c r="A1340" i="1"/>
  <c r="B1340" i="1"/>
  <c r="H1340" i="1"/>
  <c r="I1340" i="1"/>
  <c r="D672" i="1"/>
  <c r="E672" i="1"/>
  <c r="F672" i="1"/>
  <c r="G672" i="1"/>
  <c r="A672" i="1"/>
  <c r="B672" i="1"/>
  <c r="H672" i="1"/>
  <c r="I672" i="1"/>
  <c r="D1610" i="1"/>
  <c r="E1610" i="1"/>
  <c r="F1610" i="1"/>
  <c r="G1610" i="1"/>
  <c r="A1610" i="1"/>
  <c r="B1610" i="1"/>
  <c r="H1610" i="1"/>
  <c r="I1610" i="1"/>
  <c r="D1618" i="1"/>
  <c r="E1618" i="1"/>
  <c r="F1618" i="1"/>
  <c r="G1618" i="1"/>
  <c r="A1618" i="1"/>
  <c r="B1618" i="1"/>
  <c r="H1618" i="1"/>
  <c r="I1618" i="1"/>
  <c r="D770" i="1"/>
  <c r="E770" i="1"/>
  <c r="F770" i="1"/>
  <c r="G770" i="1"/>
  <c r="A770" i="1"/>
  <c r="B770" i="1"/>
  <c r="H770" i="1"/>
  <c r="I770" i="1"/>
  <c r="D771" i="1"/>
  <c r="E771" i="1"/>
  <c r="F771" i="1"/>
  <c r="G771" i="1"/>
  <c r="A771" i="1"/>
  <c r="B771" i="1"/>
  <c r="H771" i="1"/>
  <c r="I771" i="1"/>
  <c r="D1573" i="1"/>
  <c r="E1573" i="1"/>
  <c r="F1573" i="1"/>
  <c r="G1573" i="1"/>
  <c r="A1573" i="1"/>
  <c r="B1573" i="1"/>
  <c r="H1573" i="1"/>
  <c r="I1573" i="1"/>
  <c r="D627" i="1"/>
  <c r="E627" i="1"/>
  <c r="F627" i="1"/>
  <c r="G627" i="1"/>
  <c r="A627" i="1"/>
  <c r="B627" i="1"/>
  <c r="H627" i="1"/>
  <c r="I627" i="1"/>
  <c r="D3517" i="1"/>
  <c r="E3517" i="1"/>
  <c r="F3517" i="1"/>
  <c r="G3517" i="1"/>
  <c r="A3517" i="1"/>
  <c r="B3517" i="1"/>
  <c r="H3517" i="1"/>
  <c r="I3517" i="1"/>
  <c r="D655" i="1"/>
  <c r="E655" i="1"/>
  <c r="F655" i="1"/>
  <c r="G655" i="1"/>
  <c r="A655" i="1"/>
  <c r="B655" i="1"/>
  <c r="H655" i="1"/>
  <c r="I655" i="1"/>
  <c r="D666" i="1"/>
  <c r="E666" i="1"/>
  <c r="F666" i="1"/>
  <c r="G666" i="1"/>
  <c r="A666" i="1"/>
  <c r="B666" i="1"/>
  <c r="H666" i="1"/>
  <c r="I666" i="1"/>
  <c r="D1622" i="1"/>
  <c r="E1622" i="1"/>
  <c r="F1622" i="1"/>
  <c r="G1622" i="1"/>
  <c r="A1622" i="1"/>
  <c r="B1622" i="1"/>
  <c r="H1622" i="1"/>
  <c r="I1622" i="1"/>
  <c r="D3528" i="1"/>
  <c r="E3528" i="1"/>
  <c r="F3528" i="1"/>
  <c r="G3528" i="1"/>
  <c r="A3528" i="1"/>
  <c r="B3528" i="1"/>
  <c r="H3528" i="1"/>
  <c r="I3528" i="1"/>
  <c r="D2823" i="1"/>
  <c r="E2823" i="1"/>
  <c r="F2823" i="1"/>
  <c r="G2823" i="1"/>
  <c r="A2823" i="1"/>
  <c r="B2823" i="1"/>
  <c r="H2823" i="1"/>
  <c r="I2823" i="1"/>
  <c r="D1306" i="1"/>
  <c r="E1306" i="1"/>
  <c r="F1306" i="1"/>
  <c r="G1306" i="1"/>
  <c r="A1306" i="1"/>
  <c r="B1306" i="1"/>
  <c r="H1306" i="1"/>
  <c r="I1306" i="1"/>
  <c r="D677" i="1"/>
  <c r="E677" i="1"/>
  <c r="F677" i="1"/>
  <c r="G677" i="1"/>
  <c r="A677" i="1"/>
  <c r="B677" i="1"/>
  <c r="H677" i="1"/>
  <c r="I677" i="1"/>
  <c r="D3290" i="1"/>
  <c r="E3290" i="1"/>
  <c r="F3290" i="1"/>
  <c r="G3290" i="1"/>
  <c r="A3290" i="1"/>
  <c r="B3290" i="1"/>
  <c r="H3290" i="1"/>
  <c r="I3290" i="1"/>
  <c r="D2855" i="1"/>
  <c r="E2855" i="1"/>
  <c r="F2855" i="1"/>
  <c r="G2855" i="1"/>
  <c r="A2855" i="1"/>
  <c r="B2855" i="1"/>
  <c r="H2855" i="1"/>
  <c r="I2855" i="1"/>
  <c r="D363" i="1"/>
  <c r="E363" i="1"/>
  <c r="F363" i="1"/>
  <c r="G363" i="1"/>
  <c r="A363" i="1"/>
  <c r="B363" i="1"/>
  <c r="H363" i="1"/>
  <c r="I363" i="1"/>
  <c r="D1615" i="1"/>
  <c r="E1615" i="1"/>
  <c r="F1615" i="1"/>
  <c r="G1615" i="1"/>
  <c r="A1615" i="1"/>
  <c r="B1615" i="1"/>
  <c r="H1615" i="1"/>
  <c r="I1615" i="1"/>
  <c r="D154" i="1"/>
  <c r="E154" i="1"/>
  <c r="F154" i="1"/>
  <c r="G154" i="1"/>
  <c r="A154" i="1"/>
  <c r="B154" i="1"/>
  <c r="H154" i="1"/>
  <c r="I154" i="1"/>
  <c r="D1574" i="1"/>
  <c r="E1574" i="1"/>
  <c r="F1574" i="1"/>
  <c r="G1574" i="1"/>
  <c r="A1574" i="1"/>
  <c r="B1574" i="1"/>
  <c r="H1574" i="1"/>
  <c r="I1574" i="1"/>
  <c r="D1313" i="1"/>
  <c r="E1313" i="1"/>
  <c r="F1313" i="1"/>
  <c r="G1313" i="1"/>
  <c r="A1313" i="1"/>
  <c r="B1313" i="1"/>
  <c r="H1313" i="1"/>
  <c r="I1313" i="1"/>
  <c r="D679" i="1"/>
  <c r="E679" i="1"/>
  <c r="F679" i="1"/>
  <c r="G679" i="1"/>
  <c r="A679" i="1"/>
  <c r="B679" i="1"/>
  <c r="H679" i="1"/>
  <c r="I679" i="1"/>
  <c r="D1868" i="1"/>
  <c r="E1868" i="1"/>
  <c r="F1868" i="1"/>
  <c r="G1868" i="1"/>
  <c r="A1868" i="1"/>
  <c r="B1868" i="1"/>
  <c r="H1868" i="1"/>
  <c r="I1868" i="1"/>
  <c r="D1304" i="1"/>
  <c r="E1304" i="1"/>
  <c r="F1304" i="1"/>
  <c r="G1304" i="1"/>
  <c r="A1304" i="1"/>
  <c r="B1304" i="1"/>
  <c r="H1304" i="1"/>
  <c r="I1304" i="1"/>
  <c r="D1309" i="1"/>
  <c r="E1309" i="1"/>
  <c r="F1309" i="1"/>
  <c r="G1309" i="1"/>
  <c r="A1309" i="1"/>
  <c r="B1309" i="1"/>
  <c r="H1309" i="1"/>
  <c r="I1309" i="1"/>
  <c r="D3206" i="1"/>
  <c r="E3206" i="1"/>
  <c r="F3206" i="1"/>
  <c r="G3206" i="1"/>
  <c r="A3206" i="1"/>
  <c r="B3206" i="1"/>
  <c r="H3206" i="1"/>
  <c r="I3206" i="1"/>
  <c r="D633" i="1"/>
  <c r="E633" i="1"/>
  <c r="F633" i="1"/>
  <c r="G633" i="1"/>
  <c r="A633" i="1"/>
  <c r="B633" i="1"/>
  <c r="H633" i="1"/>
  <c r="I633" i="1"/>
  <c r="D3514" i="1"/>
  <c r="E3514" i="1"/>
  <c r="F3514" i="1"/>
  <c r="G3514" i="1"/>
  <c r="A3514" i="1"/>
  <c r="B3514" i="1"/>
  <c r="H3514" i="1"/>
  <c r="I3514" i="1"/>
  <c r="D767" i="1"/>
  <c r="E767" i="1"/>
  <c r="F767" i="1"/>
  <c r="G767" i="1"/>
  <c r="A767" i="1"/>
  <c r="B767" i="1"/>
  <c r="H767" i="1"/>
  <c r="I767" i="1"/>
  <c r="D1063" i="1"/>
  <c r="E1063" i="1"/>
  <c r="F1063" i="1"/>
  <c r="G1063" i="1"/>
  <c r="A1063" i="1"/>
  <c r="B1063" i="1"/>
  <c r="H1063" i="1"/>
  <c r="I1063" i="1"/>
  <c r="D766" i="1"/>
  <c r="E766" i="1"/>
  <c r="F766" i="1"/>
  <c r="G766" i="1"/>
  <c r="A766" i="1"/>
  <c r="B766" i="1"/>
  <c r="H766" i="1"/>
  <c r="I766" i="1"/>
  <c r="D682" i="1"/>
  <c r="E682" i="1"/>
  <c r="F682" i="1"/>
  <c r="G682" i="1"/>
  <c r="A682" i="1"/>
  <c r="B682" i="1"/>
  <c r="H682" i="1"/>
  <c r="I682" i="1"/>
  <c r="D2871" i="1"/>
  <c r="E2871" i="1"/>
  <c r="F2871" i="1"/>
  <c r="G2871" i="1"/>
  <c r="A2871" i="1"/>
  <c r="B2871" i="1"/>
  <c r="H2871" i="1"/>
  <c r="I2871" i="1"/>
  <c r="D663" i="1"/>
  <c r="E663" i="1"/>
  <c r="F663" i="1"/>
  <c r="G663" i="1"/>
  <c r="A663" i="1"/>
  <c r="B663" i="1"/>
  <c r="H663" i="1"/>
  <c r="I663" i="1"/>
  <c r="D622" i="1"/>
  <c r="E622" i="1"/>
  <c r="F622" i="1"/>
  <c r="G622" i="1"/>
  <c r="A622" i="1"/>
  <c r="B622" i="1"/>
  <c r="H622" i="1"/>
  <c r="I622" i="1"/>
  <c r="D683" i="1"/>
  <c r="E683" i="1"/>
  <c r="F683" i="1"/>
  <c r="G683" i="1"/>
  <c r="A683" i="1"/>
  <c r="B683" i="1"/>
  <c r="H683" i="1"/>
  <c r="I683" i="1"/>
  <c r="D1310" i="1"/>
  <c r="E1310" i="1"/>
  <c r="F1310" i="1"/>
  <c r="G1310" i="1"/>
  <c r="A1310" i="1"/>
  <c r="B1310" i="1"/>
  <c r="H1310" i="1"/>
  <c r="I1310" i="1"/>
  <c r="D3205" i="1"/>
  <c r="E3205" i="1"/>
  <c r="F3205" i="1"/>
  <c r="G3205" i="1"/>
  <c r="A3205" i="1"/>
  <c r="B3205" i="1"/>
  <c r="H3205" i="1"/>
  <c r="I3205" i="1"/>
  <c r="D641" i="1"/>
  <c r="E641" i="1"/>
  <c r="F641" i="1"/>
  <c r="G641" i="1"/>
  <c r="A641" i="1"/>
  <c r="B641" i="1"/>
  <c r="H641" i="1"/>
  <c r="I641" i="1"/>
  <c r="D3204" i="1"/>
  <c r="E3204" i="1"/>
  <c r="F3204" i="1"/>
  <c r="G3204" i="1"/>
  <c r="A3204" i="1"/>
  <c r="B3204" i="1"/>
  <c r="H3204" i="1"/>
  <c r="I3204" i="1"/>
  <c r="D652" i="1"/>
  <c r="E652" i="1"/>
  <c r="F652" i="1"/>
  <c r="G652" i="1"/>
  <c r="A652" i="1"/>
  <c r="B652" i="1"/>
  <c r="H652" i="1"/>
  <c r="I652" i="1"/>
  <c r="D2950" i="1"/>
  <c r="E2950" i="1"/>
  <c r="F2950" i="1"/>
  <c r="G2950" i="1"/>
  <c r="A2950" i="1"/>
  <c r="B2950" i="1"/>
  <c r="H2950" i="1"/>
  <c r="I2950" i="1"/>
  <c r="D2812" i="1"/>
  <c r="E2812" i="1"/>
  <c r="F2812" i="1"/>
  <c r="G2812" i="1"/>
  <c r="A2812" i="1"/>
  <c r="B2812" i="1"/>
  <c r="H2812" i="1"/>
  <c r="I2812" i="1"/>
  <c r="D1624" i="1"/>
  <c r="E1624" i="1"/>
  <c r="F1624" i="1"/>
  <c r="G1624" i="1"/>
  <c r="A1624" i="1"/>
  <c r="B1624" i="1"/>
  <c r="H1624" i="1"/>
  <c r="I1624" i="1"/>
  <c r="D1626" i="1"/>
  <c r="E1626" i="1"/>
  <c r="F1626" i="1"/>
  <c r="G1626" i="1"/>
  <c r="A1626" i="1"/>
  <c r="B1626" i="1"/>
  <c r="H1626" i="1"/>
  <c r="I1626" i="1"/>
  <c r="D364" i="1"/>
  <c r="E364" i="1"/>
  <c r="F364" i="1"/>
  <c r="G364" i="1"/>
  <c r="A364" i="1"/>
  <c r="B364" i="1"/>
  <c r="H364" i="1"/>
  <c r="I364" i="1"/>
  <c r="D1292" i="1"/>
  <c r="E1292" i="1"/>
  <c r="F1292" i="1"/>
  <c r="G1292" i="1"/>
  <c r="A1292" i="1"/>
  <c r="B1292" i="1"/>
  <c r="H1292" i="1"/>
  <c r="I1292" i="1"/>
  <c r="D1300" i="1"/>
  <c r="E1300" i="1"/>
  <c r="F1300" i="1"/>
  <c r="G1300" i="1"/>
  <c r="A1300" i="1"/>
  <c r="B1300" i="1"/>
  <c r="H1300" i="1"/>
  <c r="I1300" i="1"/>
  <c r="D643" i="1"/>
  <c r="E643" i="1"/>
  <c r="F643" i="1"/>
  <c r="G643" i="1"/>
  <c r="A643" i="1"/>
  <c r="B643" i="1"/>
  <c r="H643" i="1"/>
  <c r="I643" i="1"/>
  <c r="D644" i="1"/>
  <c r="E644" i="1"/>
  <c r="F644" i="1"/>
  <c r="G644" i="1"/>
  <c r="A644" i="1"/>
  <c r="B644" i="1"/>
  <c r="H644" i="1"/>
  <c r="I644" i="1"/>
  <c r="D645" i="1"/>
  <c r="E645" i="1"/>
  <c r="F645" i="1"/>
  <c r="G645" i="1"/>
  <c r="A645" i="1"/>
  <c r="B645" i="1"/>
  <c r="H645" i="1"/>
  <c r="I645" i="1"/>
  <c r="D642" i="1"/>
  <c r="E642" i="1"/>
  <c r="F642" i="1"/>
  <c r="G642" i="1"/>
  <c r="A642" i="1"/>
  <c r="B642" i="1"/>
  <c r="H642" i="1"/>
  <c r="I642" i="1"/>
  <c r="D646" i="1"/>
  <c r="E646" i="1"/>
  <c r="F646" i="1"/>
  <c r="G646" i="1"/>
  <c r="A646" i="1"/>
  <c r="B646" i="1"/>
  <c r="H646" i="1"/>
  <c r="I646" i="1"/>
  <c r="D647" i="1"/>
  <c r="E647" i="1"/>
  <c r="F647" i="1"/>
  <c r="G647" i="1"/>
  <c r="A647" i="1"/>
  <c r="B647" i="1"/>
  <c r="H647" i="1"/>
  <c r="I647" i="1"/>
  <c r="D648" i="1"/>
  <c r="E648" i="1"/>
  <c r="F648" i="1"/>
  <c r="G648" i="1"/>
  <c r="A648" i="1"/>
  <c r="B648" i="1"/>
  <c r="H648" i="1"/>
  <c r="I648" i="1"/>
  <c r="D657" i="1"/>
  <c r="E657" i="1"/>
  <c r="F657" i="1"/>
  <c r="G657" i="1"/>
  <c r="A657" i="1"/>
  <c r="B657" i="1"/>
  <c r="H657" i="1"/>
  <c r="I657" i="1"/>
  <c r="D1303" i="1"/>
  <c r="E1303" i="1"/>
  <c r="F1303" i="1"/>
  <c r="G1303" i="1"/>
  <c r="A1303" i="1"/>
  <c r="B1303" i="1"/>
  <c r="H1303" i="1"/>
  <c r="I1303" i="1"/>
  <c r="D3086" i="1"/>
  <c r="E3086" i="1"/>
  <c r="F3086" i="1"/>
  <c r="G3086" i="1"/>
  <c r="A3086" i="1"/>
  <c r="B3086" i="1"/>
  <c r="H3086" i="1"/>
  <c r="I3086" i="1"/>
  <c r="D1589" i="1"/>
  <c r="E1589" i="1"/>
  <c r="F1589" i="1"/>
  <c r="G1589" i="1"/>
  <c r="A1589" i="1"/>
  <c r="B1589" i="1"/>
  <c r="H1589" i="1"/>
  <c r="I1589" i="1"/>
  <c r="D2824" i="1"/>
  <c r="E2824" i="1"/>
  <c r="F2824" i="1"/>
  <c r="G2824" i="1"/>
  <c r="A2824" i="1"/>
  <c r="B2824" i="1"/>
  <c r="H2824" i="1"/>
  <c r="I2824" i="1"/>
  <c r="D1297" i="1"/>
  <c r="E1297" i="1"/>
  <c r="F1297" i="1"/>
  <c r="G1297" i="1"/>
  <c r="A1297" i="1"/>
  <c r="B1297" i="1"/>
  <c r="H1297" i="1"/>
  <c r="I1297" i="1"/>
  <c r="D1298" i="1"/>
  <c r="E1298" i="1"/>
  <c r="F1298" i="1"/>
  <c r="G1298" i="1"/>
  <c r="A1298" i="1"/>
  <c r="B1298" i="1"/>
  <c r="H1298" i="1"/>
  <c r="I1298" i="1"/>
  <c r="D3085" i="1"/>
  <c r="E3085" i="1"/>
  <c r="F3085" i="1"/>
  <c r="G3085" i="1"/>
  <c r="A3085" i="1"/>
  <c r="B3085" i="1"/>
  <c r="H3085" i="1"/>
  <c r="I3085" i="1"/>
  <c r="D1301" i="1"/>
  <c r="E1301" i="1"/>
  <c r="F1301" i="1"/>
  <c r="G1301" i="1"/>
  <c r="A1301" i="1"/>
  <c r="B1301" i="1"/>
  <c r="H1301" i="1"/>
  <c r="I1301" i="1"/>
  <c r="D2592" i="1"/>
  <c r="E2592" i="1"/>
  <c r="F2592" i="1"/>
  <c r="G2592" i="1"/>
  <c r="A2592" i="1"/>
  <c r="B2592" i="1"/>
  <c r="H2592" i="1"/>
  <c r="I2592" i="1"/>
  <c r="D1605" i="1"/>
  <c r="E1605" i="1"/>
  <c r="F1605" i="1"/>
  <c r="G1605" i="1"/>
  <c r="A1605" i="1"/>
  <c r="B1605" i="1"/>
  <c r="H1605" i="1"/>
  <c r="I1605" i="1"/>
  <c r="D1608" i="1"/>
  <c r="E1608" i="1"/>
  <c r="F1608" i="1"/>
  <c r="G1608" i="1"/>
  <c r="A1608" i="1"/>
  <c r="B1608" i="1"/>
  <c r="H1608" i="1"/>
  <c r="I1608" i="1"/>
  <c r="D3243" i="1"/>
  <c r="E3243" i="1"/>
  <c r="F3243" i="1"/>
  <c r="G3243" i="1"/>
  <c r="A3243" i="1"/>
  <c r="B3243" i="1"/>
  <c r="H3243" i="1"/>
  <c r="I3243" i="1"/>
  <c r="D3203" i="1"/>
  <c r="E3203" i="1"/>
  <c r="F3203" i="1"/>
  <c r="G3203" i="1"/>
  <c r="A3203" i="1"/>
  <c r="B3203" i="1"/>
  <c r="H3203" i="1"/>
  <c r="I3203" i="1"/>
  <c r="D625" i="1"/>
  <c r="E625" i="1"/>
  <c r="F625" i="1"/>
  <c r="G625" i="1"/>
  <c r="A625" i="1"/>
  <c r="B625" i="1"/>
  <c r="H625" i="1"/>
  <c r="I625" i="1"/>
  <c r="D636" i="1"/>
  <c r="E636" i="1"/>
  <c r="F636" i="1"/>
  <c r="G636" i="1"/>
  <c r="A636" i="1"/>
  <c r="B636" i="1"/>
  <c r="H636" i="1"/>
  <c r="I636" i="1"/>
  <c r="D684" i="1"/>
  <c r="E684" i="1"/>
  <c r="F684" i="1"/>
  <c r="G684" i="1"/>
  <c r="A684" i="1"/>
  <c r="B684" i="1"/>
  <c r="H684" i="1"/>
  <c r="I684" i="1"/>
  <c r="D1607" i="1"/>
  <c r="E1607" i="1"/>
  <c r="F1607" i="1"/>
  <c r="G1607" i="1"/>
  <c r="A1607" i="1"/>
  <c r="B1607" i="1"/>
  <c r="H1607" i="1"/>
  <c r="I1607" i="1"/>
  <c r="D660" i="1"/>
  <c r="E660" i="1"/>
  <c r="F660" i="1"/>
  <c r="G660" i="1"/>
  <c r="A660" i="1"/>
  <c r="B660" i="1"/>
  <c r="H660" i="1"/>
  <c r="I660" i="1"/>
  <c r="D774" i="1"/>
  <c r="E774" i="1"/>
  <c r="F774" i="1"/>
  <c r="G774" i="1"/>
  <c r="A774" i="1"/>
  <c r="B774" i="1"/>
  <c r="H774" i="1"/>
  <c r="I774" i="1"/>
  <c r="D1609" i="1"/>
  <c r="E1609" i="1"/>
  <c r="F1609" i="1"/>
  <c r="G1609" i="1"/>
  <c r="A1609" i="1"/>
  <c r="B1609" i="1"/>
  <c r="H1609" i="1"/>
  <c r="I1609" i="1"/>
  <c r="D1603" i="1"/>
  <c r="E1603" i="1"/>
  <c r="F1603" i="1"/>
  <c r="G1603" i="1"/>
  <c r="A1603" i="1"/>
  <c r="B1603" i="1"/>
  <c r="H1603" i="1"/>
  <c r="I1603" i="1"/>
  <c r="D769" i="1"/>
  <c r="E769" i="1"/>
  <c r="F769" i="1"/>
  <c r="G769" i="1"/>
  <c r="A769" i="1"/>
  <c r="B769" i="1"/>
  <c r="H769" i="1"/>
  <c r="I769" i="1"/>
  <c r="D1867" i="1"/>
  <c r="E1867" i="1"/>
  <c r="F1867" i="1"/>
  <c r="G1867" i="1"/>
  <c r="A1867" i="1"/>
  <c r="B1867" i="1"/>
  <c r="H1867" i="1"/>
  <c r="I1867" i="1"/>
  <c r="D3081" i="1"/>
  <c r="E3081" i="1"/>
  <c r="F3081" i="1"/>
  <c r="G3081" i="1"/>
  <c r="A3081" i="1"/>
  <c r="B3081" i="1"/>
  <c r="H3081" i="1"/>
  <c r="I3081" i="1"/>
  <c r="D3076" i="1"/>
  <c r="E3076" i="1"/>
  <c r="F3076" i="1"/>
  <c r="G3076" i="1"/>
  <c r="A3076" i="1"/>
  <c r="B3076" i="1"/>
  <c r="H3076" i="1"/>
  <c r="I3076" i="1"/>
  <c r="D1575" i="1"/>
  <c r="E1575" i="1"/>
  <c r="F1575" i="1"/>
  <c r="G1575" i="1"/>
  <c r="A1575" i="1"/>
  <c r="B1575" i="1"/>
  <c r="H1575" i="1"/>
  <c r="I1575" i="1"/>
  <c r="D661" i="1"/>
  <c r="E661" i="1"/>
  <c r="F661" i="1"/>
  <c r="G661" i="1"/>
  <c r="A661" i="1"/>
  <c r="B661" i="1"/>
  <c r="H661" i="1"/>
  <c r="I661" i="1"/>
  <c r="D676" i="1"/>
  <c r="E676" i="1"/>
  <c r="F676" i="1"/>
  <c r="G676" i="1"/>
  <c r="A676" i="1"/>
  <c r="B676" i="1"/>
  <c r="H676" i="1"/>
  <c r="I676" i="1"/>
  <c r="D693" i="1"/>
  <c r="E693" i="1"/>
  <c r="F693" i="1"/>
  <c r="G693" i="1"/>
  <c r="A693" i="1"/>
  <c r="B693" i="1"/>
  <c r="H693" i="1"/>
  <c r="I693" i="1"/>
  <c r="D3087" i="1"/>
  <c r="E3087" i="1"/>
  <c r="F3087" i="1"/>
  <c r="G3087" i="1"/>
  <c r="A3087" i="1"/>
  <c r="B3087" i="1"/>
  <c r="H3087" i="1"/>
  <c r="I3087" i="1"/>
  <c r="D1281" i="1"/>
  <c r="E1281" i="1"/>
  <c r="F1281" i="1"/>
  <c r="G1281" i="1"/>
  <c r="A1281" i="1"/>
  <c r="B1281" i="1"/>
  <c r="H1281" i="1"/>
  <c r="I1281" i="1"/>
  <c r="D1611" i="1"/>
  <c r="E1611" i="1"/>
  <c r="F1611" i="1"/>
  <c r="G1611" i="1"/>
  <c r="A1611" i="1"/>
  <c r="B1611" i="1"/>
  <c r="H1611" i="1"/>
  <c r="I1611" i="1"/>
  <c r="D1613" i="1"/>
  <c r="E1613" i="1"/>
  <c r="F1613" i="1"/>
  <c r="G1613" i="1"/>
  <c r="A1613" i="1"/>
  <c r="B1613" i="1"/>
  <c r="H1613" i="1"/>
  <c r="I1613" i="1"/>
  <c r="D1630" i="1"/>
  <c r="E1630" i="1"/>
  <c r="F1630" i="1"/>
  <c r="G1630" i="1"/>
  <c r="A1630" i="1"/>
  <c r="B1630" i="1"/>
  <c r="H1630" i="1"/>
  <c r="I1630" i="1"/>
  <c r="D1578" i="1"/>
  <c r="E1578" i="1"/>
  <c r="F1578" i="1"/>
  <c r="G1578" i="1"/>
  <c r="A1578" i="1"/>
  <c r="B1578" i="1"/>
  <c r="H1578" i="1"/>
  <c r="I1578" i="1"/>
  <c r="D359" i="1"/>
  <c r="E359" i="1"/>
  <c r="F359" i="1"/>
  <c r="G359" i="1"/>
  <c r="A359" i="1"/>
  <c r="B359" i="1"/>
  <c r="H359" i="1"/>
  <c r="I359" i="1"/>
  <c r="D367" i="1"/>
  <c r="E367" i="1"/>
  <c r="F367" i="1"/>
  <c r="G367" i="1"/>
  <c r="A367" i="1"/>
  <c r="B367" i="1"/>
  <c r="H367" i="1"/>
  <c r="I367" i="1"/>
  <c r="D1278" i="1"/>
  <c r="E1278" i="1"/>
  <c r="F1278" i="1"/>
  <c r="G1278" i="1"/>
  <c r="A1278" i="1"/>
  <c r="B1278" i="1"/>
  <c r="H1278" i="1"/>
  <c r="I1278" i="1"/>
  <c r="D690" i="1"/>
  <c r="E690" i="1"/>
  <c r="F690" i="1"/>
  <c r="G690" i="1"/>
  <c r="A690" i="1"/>
  <c r="B690" i="1"/>
  <c r="H690" i="1"/>
  <c r="I690" i="1"/>
  <c r="D691" i="1"/>
  <c r="E691" i="1"/>
  <c r="F691" i="1"/>
  <c r="G691" i="1"/>
  <c r="A691" i="1"/>
  <c r="B691" i="1"/>
  <c r="H691" i="1"/>
  <c r="I691" i="1"/>
  <c r="D360" i="1"/>
  <c r="E360" i="1"/>
  <c r="F360" i="1"/>
  <c r="G360" i="1"/>
  <c r="A360" i="1"/>
  <c r="B360" i="1"/>
  <c r="H360" i="1"/>
  <c r="I360" i="1"/>
  <c r="D361" i="1"/>
  <c r="E361" i="1"/>
  <c r="F361" i="1"/>
  <c r="G361" i="1"/>
  <c r="A361" i="1"/>
  <c r="B361" i="1"/>
  <c r="H361" i="1"/>
  <c r="I361" i="1"/>
  <c r="D1619" i="1"/>
  <c r="E1619" i="1"/>
  <c r="F1619" i="1"/>
  <c r="G1619" i="1"/>
  <c r="A1619" i="1"/>
  <c r="B1619" i="1"/>
  <c r="H1619" i="1"/>
  <c r="I1619" i="1"/>
  <c r="D1580" i="1"/>
  <c r="E1580" i="1"/>
  <c r="F1580" i="1"/>
  <c r="G1580" i="1"/>
  <c r="A1580" i="1"/>
  <c r="B1580" i="1"/>
  <c r="H1580" i="1"/>
  <c r="I1580" i="1"/>
  <c r="D1629" i="1"/>
  <c r="E1629" i="1"/>
  <c r="F1629" i="1"/>
  <c r="G1629" i="1"/>
  <c r="A1629" i="1"/>
  <c r="B1629" i="1"/>
  <c r="H1629" i="1"/>
  <c r="I1629" i="1"/>
  <c r="D694" i="1"/>
  <c r="E694" i="1"/>
  <c r="F694" i="1"/>
  <c r="G694" i="1"/>
  <c r="A694" i="1"/>
  <c r="B694" i="1"/>
  <c r="H694" i="1"/>
  <c r="I694" i="1"/>
  <c r="D700" i="1"/>
  <c r="E700" i="1"/>
  <c r="F700" i="1"/>
  <c r="G700" i="1"/>
  <c r="A700" i="1"/>
  <c r="B700" i="1"/>
  <c r="H700" i="1"/>
  <c r="I700" i="1"/>
  <c r="D640" i="1"/>
  <c r="E640" i="1"/>
  <c r="F640" i="1"/>
  <c r="G640" i="1"/>
  <c r="A640" i="1"/>
  <c r="B640" i="1"/>
  <c r="H640" i="1"/>
  <c r="I640" i="1"/>
  <c r="D3207" i="1"/>
  <c r="E3207" i="1"/>
  <c r="F3207" i="1"/>
  <c r="G3207" i="1"/>
  <c r="A3207" i="1"/>
  <c r="B3207" i="1"/>
  <c r="H3207" i="1"/>
  <c r="I3207" i="1"/>
  <c r="D1980" i="1"/>
  <c r="E1980" i="1"/>
  <c r="F1980" i="1"/>
  <c r="G1980" i="1"/>
  <c r="A1980" i="1"/>
  <c r="B1980" i="1"/>
  <c r="H1980" i="1"/>
  <c r="I1980" i="1"/>
  <c r="D626" i="1"/>
  <c r="E626" i="1"/>
  <c r="F626" i="1"/>
  <c r="G626" i="1"/>
  <c r="A626" i="1"/>
  <c r="B626" i="1"/>
  <c r="H626" i="1"/>
  <c r="I626" i="1"/>
  <c r="D695" i="1"/>
  <c r="E695" i="1"/>
  <c r="F695" i="1"/>
  <c r="G695" i="1"/>
  <c r="A695" i="1"/>
  <c r="B695" i="1"/>
  <c r="H695" i="1"/>
  <c r="I695" i="1"/>
  <c r="D701" i="1"/>
  <c r="E701" i="1"/>
  <c r="F701" i="1"/>
  <c r="G701" i="1"/>
  <c r="A701" i="1"/>
  <c r="B701" i="1"/>
  <c r="H701" i="1"/>
  <c r="I701" i="1"/>
  <c r="D2599" i="1"/>
  <c r="E2599" i="1"/>
  <c r="F2599" i="1"/>
  <c r="G2599" i="1"/>
  <c r="A2599" i="1"/>
  <c r="B2599" i="1"/>
  <c r="H2599" i="1"/>
  <c r="I2599" i="1"/>
  <c r="D1062" i="1"/>
  <c r="E1062" i="1"/>
  <c r="F1062" i="1"/>
  <c r="G1062" i="1"/>
  <c r="A1062" i="1"/>
  <c r="B1062" i="1"/>
  <c r="H1062" i="1"/>
  <c r="I1062" i="1"/>
  <c r="D675" i="1"/>
  <c r="E675" i="1"/>
  <c r="F675" i="1"/>
  <c r="G675" i="1"/>
  <c r="A675" i="1"/>
  <c r="B675" i="1"/>
  <c r="H675" i="1"/>
  <c r="I675" i="1"/>
  <c r="D1295" i="1"/>
  <c r="E1295" i="1"/>
  <c r="F1295" i="1"/>
  <c r="G1295" i="1"/>
  <c r="A1295" i="1"/>
  <c r="B1295" i="1"/>
  <c r="H1295" i="1"/>
  <c r="I1295" i="1"/>
  <c r="D1296" i="1"/>
  <c r="E1296" i="1"/>
  <c r="F1296" i="1"/>
  <c r="G1296" i="1"/>
  <c r="A1296" i="1"/>
  <c r="B1296" i="1"/>
  <c r="H1296" i="1"/>
  <c r="I1296" i="1"/>
  <c r="D1282" i="1"/>
  <c r="E1282" i="1"/>
  <c r="F1282" i="1"/>
  <c r="G1282" i="1"/>
  <c r="A1282" i="1"/>
  <c r="B1282" i="1"/>
  <c r="H1282" i="1"/>
  <c r="I1282" i="1"/>
  <c r="D632" i="1"/>
  <c r="E632" i="1"/>
  <c r="F632" i="1"/>
  <c r="G632" i="1"/>
  <c r="A632" i="1"/>
  <c r="B632" i="1"/>
  <c r="H632" i="1"/>
  <c r="I632" i="1"/>
  <c r="D673" i="1"/>
  <c r="E673" i="1"/>
  <c r="F673" i="1"/>
  <c r="G673" i="1"/>
  <c r="A673" i="1"/>
  <c r="B673" i="1"/>
  <c r="H673" i="1"/>
  <c r="I673" i="1"/>
  <c r="D3526" i="1"/>
  <c r="E3526" i="1"/>
  <c r="F3526" i="1"/>
  <c r="G3526" i="1"/>
  <c r="A3526" i="1"/>
  <c r="B3526" i="1"/>
  <c r="H3526" i="1"/>
  <c r="I3526" i="1"/>
  <c r="D3340" i="1"/>
  <c r="E3340" i="1"/>
  <c r="F3340" i="1"/>
  <c r="G3340" i="1"/>
  <c r="A3340" i="1"/>
  <c r="B3340" i="1"/>
  <c r="H3340" i="1"/>
  <c r="I3340" i="1"/>
  <c r="D1606" i="1"/>
  <c r="E1606" i="1"/>
  <c r="F1606" i="1"/>
  <c r="G1606" i="1"/>
  <c r="A1606" i="1"/>
  <c r="B1606" i="1"/>
  <c r="H1606" i="1"/>
  <c r="I1606" i="1"/>
  <c r="D3371" i="1"/>
  <c r="E3371" i="1"/>
  <c r="F3371" i="1"/>
  <c r="G3371" i="1"/>
  <c r="A3371" i="1"/>
  <c r="B3371" i="1"/>
  <c r="H3371" i="1"/>
  <c r="I3371" i="1"/>
  <c r="D2558" i="1"/>
  <c r="E2558" i="1"/>
  <c r="F2558" i="1"/>
  <c r="G2558" i="1"/>
  <c r="A2558" i="1"/>
  <c r="B2558" i="1"/>
  <c r="H2558" i="1"/>
  <c r="I2558" i="1"/>
  <c r="D1628" i="1"/>
  <c r="E1628" i="1"/>
  <c r="F1628" i="1"/>
  <c r="G1628" i="1"/>
  <c r="A1628" i="1"/>
  <c r="B1628" i="1"/>
  <c r="H1628" i="1"/>
  <c r="I1628" i="1"/>
  <c r="D1338" i="1"/>
  <c r="E1338" i="1"/>
  <c r="F1338" i="1"/>
  <c r="G1338" i="1"/>
  <c r="A1338" i="1"/>
  <c r="B1338" i="1"/>
  <c r="H1338" i="1"/>
  <c r="I1338" i="1"/>
  <c r="D2604" i="1"/>
  <c r="E2604" i="1"/>
  <c r="F2604" i="1"/>
  <c r="G2604" i="1"/>
  <c r="A2604" i="1"/>
  <c r="B2604" i="1"/>
  <c r="H2604" i="1"/>
  <c r="I2604" i="1"/>
  <c r="D3083" i="1"/>
  <c r="E3083" i="1"/>
  <c r="F3083" i="1"/>
  <c r="G3083" i="1"/>
  <c r="A3083" i="1"/>
  <c r="B3083" i="1"/>
  <c r="H3083" i="1"/>
  <c r="I3083" i="1"/>
  <c r="D637" i="1"/>
  <c r="E637" i="1"/>
  <c r="F637" i="1"/>
  <c r="G637" i="1"/>
  <c r="A637" i="1"/>
  <c r="B637" i="1"/>
  <c r="H637" i="1"/>
  <c r="I637" i="1"/>
  <c r="D3084" i="1"/>
  <c r="E3084" i="1"/>
  <c r="F3084" i="1"/>
  <c r="G3084" i="1"/>
  <c r="A3084" i="1"/>
  <c r="B3084" i="1"/>
  <c r="H3084" i="1"/>
  <c r="I3084" i="1"/>
  <c r="D1612" i="1"/>
  <c r="E1612" i="1"/>
  <c r="F1612" i="1"/>
  <c r="G1612" i="1"/>
  <c r="A1612" i="1"/>
  <c r="B1612" i="1"/>
  <c r="H1612" i="1"/>
  <c r="I1612" i="1"/>
  <c r="D1600" i="1"/>
  <c r="E1600" i="1"/>
  <c r="F1600" i="1"/>
  <c r="G1600" i="1"/>
  <c r="A1600" i="1"/>
  <c r="B1600" i="1"/>
  <c r="H1600" i="1"/>
  <c r="I1600" i="1"/>
  <c r="D1596" i="1"/>
  <c r="E1596" i="1"/>
  <c r="F1596" i="1"/>
  <c r="G1596" i="1"/>
  <c r="A1596" i="1"/>
  <c r="B1596" i="1"/>
  <c r="H1596" i="1"/>
  <c r="I1596" i="1"/>
  <c r="D1599" i="1"/>
  <c r="E1599" i="1"/>
  <c r="F1599" i="1"/>
  <c r="G1599" i="1"/>
  <c r="A1599" i="1"/>
  <c r="B1599" i="1"/>
  <c r="H1599" i="1"/>
  <c r="I1599" i="1"/>
  <c r="D3246" i="1"/>
  <c r="E3246" i="1"/>
  <c r="F3246" i="1"/>
  <c r="G3246" i="1"/>
  <c r="A3246" i="1"/>
  <c r="B3246" i="1"/>
  <c r="H3246" i="1"/>
  <c r="I3246" i="1"/>
  <c r="D1291" i="1"/>
  <c r="E1291" i="1"/>
  <c r="F1291" i="1"/>
  <c r="G1291" i="1"/>
  <c r="A1291" i="1"/>
  <c r="B1291" i="1"/>
  <c r="H1291" i="1"/>
  <c r="I1291" i="1"/>
  <c r="D658" i="1"/>
  <c r="E658" i="1"/>
  <c r="F658" i="1"/>
  <c r="G658" i="1"/>
  <c r="A658" i="1"/>
  <c r="B658" i="1"/>
  <c r="H658" i="1"/>
  <c r="I658" i="1"/>
  <c r="D3369" i="1"/>
  <c r="E3369" i="1"/>
  <c r="F3369" i="1"/>
  <c r="G3369" i="1"/>
  <c r="A3369" i="1"/>
  <c r="B3369" i="1"/>
  <c r="H3369" i="1"/>
  <c r="I3369" i="1"/>
  <c r="D1279" i="1"/>
  <c r="E1279" i="1"/>
  <c r="F1279" i="1"/>
  <c r="G1279" i="1"/>
  <c r="A1279" i="1"/>
  <c r="B1279" i="1"/>
  <c r="H1279" i="1"/>
  <c r="I1279" i="1"/>
  <c r="D2811" i="1"/>
  <c r="E2811" i="1"/>
  <c r="F2811" i="1"/>
  <c r="G2811" i="1"/>
  <c r="A2811" i="1"/>
  <c r="B2811" i="1"/>
  <c r="H2811" i="1"/>
  <c r="I2811" i="1"/>
  <c r="D1290" i="1"/>
  <c r="E1290" i="1"/>
  <c r="F1290" i="1"/>
  <c r="G1290" i="1"/>
  <c r="A1290" i="1"/>
  <c r="B1290" i="1"/>
  <c r="H1290" i="1"/>
  <c r="I1290" i="1"/>
  <c r="D659" i="1"/>
  <c r="E659" i="1"/>
  <c r="F659" i="1"/>
  <c r="G659" i="1"/>
  <c r="A659" i="1"/>
  <c r="B659" i="1"/>
  <c r="H659" i="1"/>
  <c r="I659" i="1"/>
  <c r="D619" i="1"/>
  <c r="E619" i="1"/>
  <c r="F619" i="1"/>
  <c r="G619" i="1"/>
  <c r="A619" i="1"/>
  <c r="B619" i="1"/>
  <c r="H619" i="1"/>
  <c r="I619" i="1"/>
  <c r="D620" i="1"/>
  <c r="E620" i="1"/>
  <c r="F620" i="1"/>
  <c r="G620" i="1"/>
  <c r="A620" i="1"/>
  <c r="B620" i="1"/>
  <c r="H620" i="1"/>
  <c r="I620" i="1"/>
  <c r="D3089" i="1"/>
  <c r="E3089" i="1"/>
  <c r="F3089" i="1"/>
  <c r="G3089" i="1"/>
  <c r="A3089" i="1"/>
  <c r="B3089" i="1"/>
  <c r="H3089" i="1"/>
  <c r="I3089" i="1"/>
  <c r="D1620" i="1"/>
  <c r="E1620" i="1"/>
  <c r="F1620" i="1"/>
  <c r="G1620" i="1"/>
  <c r="A1620" i="1"/>
  <c r="B1620" i="1"/>
  <c r="H1620" i="1"/>
  <c r="I1620" i="1"/>
  <c r="D2520" i="1"/>
  <c r="E2520" i="1"/>
  <c r="F2520" i="1"/>
  <c r="G2520" i="1"/>
  <c r="A2520" i="1"/>
  <c r="B2520" i="1"/>
  <c r="H2520" i="1"/>
  <c r="I2520" i="1"/>
  <c r="D662" i="1"/>
  <c r="E662" i="1"/>
  <c r="F662" i="1"/>
  <c r="G662" i="1"/>
  <c r="A662" i="1"/>
  <c r="B662" i="1"/>
  <c r="H662" i="1"/>
  <c r="I662" i="1"/>
  <c r="D2570" i="1"/>
  <c r="E2570" i="1"/>
  <c r="F2570" i="1"/>
  <c r="G2570" i="1"/>
  <c r="A2570" i="1"/>
  <c r="B2570" i="1"/>
  <c r="H2570" i="1"/>
  <c r="I2570" i="1"/>
  <c r="D362" i="1"/>
  <c r="E362" i="1"/>
  <c r="F362" i="1"/>
  <c r="G362" i="1"/>
  <c r="A362" i="1"/>
  <c r="B362" i="1"/>
  <c r="H362" i="1"/>
  <c r="I362" i="1"/>
  <c r="D1583" i="1"/>
  <c r="E1583" i="1"/>
  <c r="F1583" i="1"/>
  <c r="G1583" i="1"/>
  <c r="A1583" i="1"/>
  <c r="B1583" i="1"/>
  <c r="H1583" i="1"/>
  <c r="I1583" i="1"/>
  <c r="D635" i="1"/>
  <c r="E635" i="1"/>
  <c r="F635" i="1"/>
  <c r="G635" i="1"/>
  <c r="A635" i="1"/>
  <c r="B635" i="1"/>
  <c r="H635" i="1"/>
  <c r="I635" i="1"/>
  <c r="D3088" i="1"/>
  <c r="E3088" i="1"/>
  <c r="F3088" i="1"/>
  <c r="G3088" i="1"/>
  <c r="A3088" i="1"/>
  <c r="B3088" i="1"/>
  <c r="H3088" i="1"/>
  <c r="I3088" i="1"/>
  <c r="D369" i="1"/>
  <c r="E369" i="1"/>
  <c r="F369" i="1"/>
  <c r="G369" i="1"/>
  <c r="A369" i="1"/>
  <c r="B369" i="1"/>
  <c r="H369" i="1"/>
  <c r="I369" i="1"/>
  <c r="D365" i="1"/>
  <c r="E365" i="1"/>
  <c r="F365" i="1"/>
  <c r="G365" i="1"/>
  <c r="A365" i="1"/>
  <c r="B365" i="1"/>
  <c r="H365" i="1"/>
  <c r="I365" i="1"/>
  <c r="D1591" i="1"/>
  <c r="E1591" i="1"/>
  <c r="F1591" i="1"/>
  <c r="G1591" i="1"/>
  <c r="A1591" i="1"/>
  <c r="B1591" i="1"/>
  <c r="H1591" i="1"/>
  <c r="I1591" i="1"/>
  <c r="D1604" i="1"/>
  <c r="E1604" i="1"/>
  <c r="F1604" i="1"/>
  <c r="G1604" i="1"/>
  <c r="A1604" i="1"/>
  <c r="B1604" i="1"/>
  <c r="H1604" i="1"/>
  <c r="I1604" i="1"/>
  <c r="D1280" i="1"/>
  <c r="E1280" i="1"/>
  <c r="F1280" i="1"/>
  <c r="G1280" i="1"/>
  <c r="A1280" i="1"/>
  <c r="B1280" i="1"/>
  <c r="H1280" i="1"/>
  <c r="I1280" i="1"/>
  <c r="D3082" i="1"/>
  <c r="E3082" i="1"/>
  <c r="F3082" i="1"/>
  <c r="G3082" i="1"/>
  <c r="A3082" i="1"/>
  <c r="B3082" i="1"/>
  <c r="H3082" i="1"/>
  <c r="I3082" i="1"/>
  <c r="D1317" i="1"/>
  <c r="E1317" i="1"/>
  <c r="F1317" i="1"/>
  <c r="G1317" i="1"/>
  <c r="A1317" i="1"/>
  <c r="B1317" i="1"/>
  <c r="H1317" i="1"/>
  <c r="I1317" i="1"/>
  <c r="D1285" i="1"/>
  <c r="E1285" i="1"/>
  <c r="F1285" i="1"/>
  <c r="G1285" i="1"/>
  <c r="A1285" i="1"/>
  <c r="B1285" i="1"/>
  <c r="H1285" i="1"/>
  <c r="I1285" i="1"/>
  <c r="D1305" i="1"/>
  <c r="E1305" i="1"/>
  <c r="F1305" i="1"/>
  <c r="G1305" i="1"/>
  <c r="A1305" i="1"/>
  <c r="B1305" i="1"/>
  <c r="H1305" i="1"/>
  <c r="I1305" i="1"/>
  <c r="D628" i="1"/>
  <c r="E628" i="1"/>
  <c r="F628" i="1"/>
  <c r="G628" i="1"/>
  <c r="A628" i="1"/>
  <c r="B628" i="1"/>
  <c r="H628" i="1"/>
  <c r="I628" i="1"/>
  <c r="D3033" i="1"/>
  <c r="E3033" i="1"/>
  <c r="F3033" i="1"/>
  <c r="G3033" i="1"/>
  <c r="A3033" i="1"/>
  <c r="B3033" i="1"/>
  <c r="H3033" i="1"/>
  <c r="I3033" i="1"/>
  <c r="D681" i="1"/>
  <c r="E681" i="1"/>
  <c r="F681" i="1"/>
  <c r="G681" i="1"/>
  <c r="A681" i="1"/>
  <c r="B681" i="1"/>
  <c r="H681" i="1"/>
  <c r="I681" i="1"/>
  <c r="D639" i="1"/>
  <c r="E639" i="1"/>
  <c r="F639" i="1"/>
  <c r="G639" i="1"/>
  <c r="A639" i="1"/>
  <c r="B639" i="1"/>
  <c r="H639" i="1"/>
  <c r="I639" i="1"/>
  <c r="D1623" i="1"/>
  <c r="E1623" i="1"/>
  <c r="F1623" i="1"/>
  <c r="G1623" i="1"/>
  <c r="A1623" i="1"/>
  <c r="B1623" i="1"/>
  <c r="H1623" i="1"/>
  <c r="I1623" i="1"/>
  <c r="D1625" i="1"/>
  <c r="E1625" i="1"/>
  <c r="F1625" i="1"/>
  <c r="G1625" i="1"/>
  <c r="A1625" i="1"/>
  <c r="B1625" i="1"/>
  <c r="H1625" i="1"/>
  <c r="I1625" i="1"/>
  <c r="D651" i="1"/>
  <c r="E651" i="1"/>
  <c r="F651" i="1"/>
  <c r="G651" i="1"/>
  <c r="A651" i="1"/>
  <c r="B651" i="1"/>
  <c r="H651" i="1"/>
  <c r="I651" i="1"/>
  <c r="D3245" i="1"/>
  <c r="E3245" i="1"/>
  <c r="F3245" i="1"/>
  <c r="G3245" i="1"/>
  <c r="A3245" i="1"/>
  <c r="B3245" i="1"/>
  <c r="H3245" i="1"/>
  <c r="I3245" i="1"/>
  <c r="D1631" i="1"/>
  <c r="E1631" i="1"/>
  <c r="F1631" i="1"/>
  <c r="G1631" i="1"/>
  <c r="A1631" i="1"/>
  <c r="B1631" i="1"/>
  <c r="H1631" i="1"/>
  <c r="I1631" i="1"/>
  <c r="D773" i="1"/>
  <c r="E773" i="1"/>
  <c r="F773" i="1"/>
  <c r="G773" i="1"/>
  <c r="A773" i="1"/>
  <c r="B773" i="1"/>
  <c r="H773" i="1"/>
  <c r="I773" i="1"/>
  <c r="D1582" i="1"/>
  <c r="E1582" i="1"/>
  <c r="F1582" i="1"/>
  <c r="G1582" i="1"/>
  <c r="A1582" i="1"/>
  <c r="B1582" i="1"/>
  <c r="H1582" i="1"/>
  <c r="I1582" i="1"/>
  <c r="D1588" i="1"/>
  <c r="E1588" i="1"/>
  <c r="F1588" i="1"/>
  <c r="G1588" i="1"/>
  <c r="A1588" i="1"/>
  <c r="B1588" i="1"/>
  <c r="H1588" i="1"/>
  <c r="I1588" i="1"/>
  <c r="D1616" i="1"/>
  <c r="E1616" i="1"/>
  <c r="F1616" i="1"/>
  <c r="G1616" i="1"/>
  <c r="A1616" i="1"/>
  <c r="B1616" i="1"/>
  <c r="H1616" i="1"/>
  <c r="I1616" i="1"/>
  <c r="D1315" i="1"/>
  <c r="E1315" i="1"/>
  <c r="F1315" i="1"/>
  <c r="G1315" i="1"/>
  <c r="A1315" i="1"/>
  <c r="B1315" i="1"/>
  <c r="H1315" i="1"/>
  <c r="I1315" i="1"/>
  <c r="D253" i="1"/>
  <c r="E253" i="1"/>
  <c r="F253" i="1"/>
  <c r="G253" i="1"/>
  <c r="A253" i="1"/>
  <c r="B253" i="1"/>
  <c r="H253" i="1"/>
  <c r="I253" i="1"/>
  <c r="D3330" i="1"/>
  <c r="E3330" i="1"/>
  <c r="F3330" i="1"/>
  <c r="G3330" i="1"/>
  <c r="A3330" i="1"/>
  <c r="B3330" i="1"/>
  <c r="H3330" i="1"/>
  <c r="I3330" i="1"/>
  <c r="D3506" i="1"/>
  <c r="E3506" i="1"/>
  <c r="F3506" i="1"/>
  <c r="G3506" i="1"/>
  <c r="A3506" i="1"/>
  <c r="B3506" i="1"/>
  <c r="H3506" i="1"/>
  <c r="I3506" i="1"/>
  <c r="D1402" i="1"/>
  <c r="E1402" i="1"/>
  <c r="F1402" i="1"/>
  <c r="G1402" i="1"/>
  <c r="A1402" i="1"/>
  <c r="B1402" i="1"/>
  <c r="H1402" i="1"/>
  <c r="I1402" i="1"/>
  <c r="D1645" i="1"/>
  <c r="E1645" i="1"/>
  <c r="F1645" i="1"/>
  <c r="G1645" i="1"/>
  <c r="A1645" i="1"/>
  <c r="B1645" i="1"/>
  <c r="H1645" i="1"/>
  <c r="I1645" i="1"/>
  <c r="D2751" i="1"/>
  <c r="E2751" i="1"/>
  <c r="F2751" i="1"/>
  <c r="G2751" i="1"/>
  <c r="A2751" i="1"/>
  <c r="B2751" i="1"/>
  <c r="H2751" i="1"/>
  <c r="I2751" i="1"/>
  <c r="D2690" i="1"/>
  <c r="E2690" i="1"/>
  <c r="F2690" i="1"/>
  <c r="G2690" i="1"/>
  <c r="A2690" i="1"/>
  <c r="B2690" i="1"/>
  <c r="H2690" i="1"/>
  <c r="I2690" i="1"/>
  <c r="D1651" i="1"/>
  <c r="E1651" i="1"/>
  <c r="F1651" i="1"/>
  <c r="G1651" i="1"/>
  <c r="A1651" i="1"/>
  <c r="B1651" i="1"/>
  <c r="H1651" i="1"/>
  <c r="I1651" i="1"/>
  <c r="D2541" i="1"/>
  <c r="E2541" i="1"/>
  <c r="F2541" i="1"/>
  <c r="G2541" i="1"/>
  <c r="A2541" i="1"/>
  <c r="B2541" i="1"/>
  <c r="H2541" i="1"/>
  <c r="I2541" i="1"/>
  <c r="D396" i="1"/>
  <c r="E396" i="1"/>
  <c r="F396" i="1"/>
  <c r="G396" i="1"/>
  <c r="A396" i="1"/>
  <c r="B396" i="1"/>
  <c r="H396" i="1"/>
  <c r="I396" i="1"/>
  <c r="D2673" i="1"/>
  <c r="E2673" i="1"/>
  <c r="F2673" i="1"/>
  <c r="G2673" i="1"/>
  <c r="A2673" i="1"/>
  <c r="B2673" i="1"/>
  <c r="H2673" i="1"/>
  <c r="I2673" i="1"/>
  <c r="D2674" i="1"/>
  <c r="E2674" i="1"/>
  <c r="F2674" i="1"/>
  <c r="G2674" i="1"/>
  <c r="A2674" i="1"/>
  <c r="B2674" i="1"/>
  <c r="H2674" i="1"/>
  <c r="I2674" i="1"/>
  <c r="D1649" i="1"/>
  <c r="E1649" i="1"/>
  <c r="F1649" i="1"/>
  <c r="G1649" i="1"/>
  <c r="A1649" i="1"/>
  <c r="B1649" i="1"/>
  <c r="H1649" i="1"/>
  <c r="I1649" i="1"/>
  <c r="D1655" i="1"/>
  <c r="E1655" i="1"/>
  <c r="F1655" i="1"/>
  <c r="G1655" i="1"/>
  <c r="A1655" i="1"/>
  <c r="B1655" i="1"/>
  <c r="H1655" i="1"/>
  <c r="I1655" i="1"/>
  <c r="D1653" i="1"/>
  <c r="E1653" i="1"/>
  <c r="F1653" i="1"/>
  <c r="G1653" i="1"/>
  <c r="A1653" i="1"/>
  <c r="B1653" i="1"/>
  <c r="H1653" i="1"/>
  <c r="I1653" i="1"/>
  <c r="D2750" i="1"/>
  <c r="E2750" i="1"/>
  <c r="F2750" i="1"/>
  <c r="G2750" i="1"/>
  <c r="A2750" i="1"/>
  <c r="B2750" i="1"/>
  <c r="H2750" i="1"/>
  <c r="I2750" i="1"/>
  <c r="D1637" i="1"/>
  <c r="E1637" i="1"/>
  <c r="F1637" i="1"/>
  <c r="G1637" i="1"/>
  <c r="A1637" i="1"/>
  <c r="B1637" i="1"/>
  <c r="H1637" i="1"/>
  <c r="I1637" i="1"/>
  <c r="D1638" i="1"/>
  <c r="E1638" i="1"/>
  <c r="F1638" i="1"/>
  <c r="G1638" i="1"/>
  <c r="A1638" i="1"/>
  <c r="B1638" i="1"/>
  <c r="H1638" i="1"/>
  <c r="I1638" i="1"/>
  <c r="D2752" i="1"/>
  <c r="E2752" i="1"/>
  <c r="F2752" i="1"/>
  <c r="G2752" i="1"/>
  <c r="A2752" i="1"/>
  <c r="B2752" i="1"/>
  <c r="H2752" i="1"/>
  <c r="I2752" i="1"/>
  <c r="D1640" i="1"/>
  <c r="E1640" i="1"/>
  <c r="F1640" i="1"/>
  <c r="G1640" i="1"/>
  <c r="A1640" i="1"/>
  <c r="B1640" i="1"/>
  <c r="H1640" i="1"/>
  <c r="I1640" i="1"/>
  <c r="D3505" i="1"/>
  <c r="E3505" i="1"/>
  <c r="F3505" i="1"/>
  <c r="G3505" i="1"/>
  <c r="A3505" i="1"/>
  <c r="B3505" i="1"/>
  <c r="H3505" i="1"/>
  <c r="I3505" i="1"/>
  <c r="D2688" i="1"/>
  <c r="E2688" i="1"/>
  <c r="F2688" i="1"/>
  <c r="G2688" i="1"/>
  <c r="A2688" i="1"/>
  <c r="B2688" i="1"/>
  <c r="H2688" i="1"/>
  <c r="I2688" i="1"/>
  <c r="D1635" i="1"/>
  <c r="E1635" i="1"/>
  <c r="F1635" i="1"/>
  <c r="G1635" i="1"/>
  <c r="A1635" i="1"/>
  <c r="B1635" i="1"/>
  <c r="H1635" i="1"/>
  <c r="I1635" i="1"/>
  <c r="D1647" i="1"/>
  <c r="E1647" i="1"/>
  <c r="F1647" i="1"/>
  <c r="G1647" i="1"/>
  <c r="A1647" i="1"/>
  <c r="B1647" i="1"/>
  <c r="H1647" i="1"/>
  <c r="I1647" i="1"/>
  <c r="D255" i="1"/>
  <c r="E255" i="1"/>
  <c r="F255" i="1"/>
  <c r="G255" i="1"/>
  <c r="A255" i="1"/>
  <c r="B255" i="1"/>
  <c r="H255" i="1"/>
  <c r="I255" i="1"/>
  <c r="D1399" i="1"/>
  <c r="E1399" i="1"/>
  <c r="F1399" i="1"/>
  <c r="G1399" i="1"/>
  <c r="A1399" i="1"/>
  <c r="B1399" i="1"/>
  <c r="H1399" i="1"/>
  <c r="I1399" i="1"/>
  <c r="D1656" i="1"/>
  <c r="E1656" i="1"/>
  <c r="F1656" i="1"/>
  <c r="G1656" i="1"/>
  <c r="A1656" i="1"/>
  <c r="B1656" i="1"/>
  <c r="H1656" i="1"/>
  <c r="I1656" i="1"/>
  <c r="D1641" i="1"/>
  <c r="E1641" i="1"/>
  <c r="F1641" i="1"/>
  <c r="G1641" i="1"/>
  <c r="A1641" i="1"/>
  <c r="B1641" i="1"/>
  <c r="H1641" i="1"/>
  <c r="I1641" i="1"/>
  <c r="D1654" i="1"/>
  <c r="E1654" i="1"/>
  <c r="F1654" i="1"/>
  <c r="G1654" i="1"/>
  <c r="A1654" i="1"/>
  <c r="B1654" i="1"/>
  <c r="H1654" i="1"/>
  <c r="I1654" i="1"/>
  <c r="D3329" i="1"/>
  <c r="E3329" i="1"/>
  <c r="F3329" i="1"/>
  <c r="G3329" i="1"/>
  <c r="A3329" i="1"/>
  <c r="B3329" i="1"/>
  <c r="H3329" i="1"/>
  <c r="I3329" i="1"/>
  <c r="D252" i="1"/>
  <c r="E252" i="1"/>
  <c r="F252" i="1"/>
  <c r="G252" i="1"/>
  <c r="A252" i="1"/>
  <c r="B252" i="1"/>
  <c r="H252" i="1"/>
  <c r="I252" i="1"/>
  <c r="D262" i="1"/>
  <c r="E262" i="1"/>
  <c r="F262" i="1"/>
  <c r="G262" i="1"/>
  <c r="A262" i="1"/>
  <c r="B262" i="1"/>
  <c r="H262" i="1"/>
  <c r="I262" i="1"/>
  <c r="D1366" i="1"/>
  <c r="E1366" i="1"/>
  <c r="F1366" i="1"/>
  <c r="G1366" i="1"/>
  <c r="A1366" i="1"/>
  <c r="B1366" i="1"/>
  <c r="H1366" i="1"/>
  <c r="I1366" i="1"/>
  <c r="D258" i="1"/>
  <c r="E258" i="1"/>
  <c r="F258" i="1"/>
  <c r="G258" i="1"/>
  <c r="A258" i="1"/>
  <c r="B258" i="1"/>
  <c r="H258" i="1"/>
  <c r="I258" i="1"/>
  <c r="D1652" i="1"/>
  <c r="E1652" i="1"/>
  <c r="F1652" i="1"/>
  <c r="G1652" i="1"/>
  <c r="A1652" i="1"/>
  <c r="B1652" i="1"/>
  <c r="H1652" i="1"/>
  <c r="I1652" i="1"/>
  <c r="D2687" i="1"/>
  <c r="E2687" i="1"/>
  <c r="F2687" i="1"/>
  <c r="G2687" i="1"/>
  <c r="A2687" i="1"/>
  <c r="B2687" i="1"/>
  <c r="H2687" i="1"/>
  <c r="I2687" i="1"/>
  <c r="D1639" i="1"/>
  <c r="E1639" i="1"/>
  <c r="F1639" i="1"/>
  <c r="G1639" i="1"/>
  <c r="A1639" i="1"/>
  <c r="B1639" i="1"/>
  <c r="H1639" i="1"/>
  <c r="I1639" i="1"/>
  <c r="D254" i="1"/>
  <c r="E254" i="1"/>
  <c r="F254" i="1"/>
  <c r="G254" i="1"/>
  <c r="A254" i="1"/>
  <c r="B254" i="1"/>
  <c r="H254" i="1"/>
  <c r="I254" i="1"/>
  <c r="D1646" i="1"/>
  <c r="E1646" i="1"/>
  <c r="F1646" i="1"/>
  <c r="G1646" i="1"/>
  <c r="A1646" i="1"/>
  <c r="B1646" i="1"/>
  <c r="H1646" i="1"/>
  <c r="I1646" i="1"/>
  <c r="D256" i="1"/>
  <c r="E256" i="1"/>
  <c r="F256" i="1"/>
  <c r="G256" i="1"/>
  <c r="A256" i="1"/>
  <c r="B256" i="1"/>
  <c r="H256" i="1"/>
  <c r="I256" i="1"/>
  <c r="D261" i="1"/>
  <c r="E261" i="1"/>
  <c r="F261" i="1"/>
  <c r="G261" i="1"/>
  <c r="A261" i="1"/>
  <c r="B261" i="1"/>
  <c r="H261" i="1"/>
  <c r="I261" i="1"/>
  <c r="D3497" i="1"/>
  <c r="E3497" i="1"/>
  <c r="F3497" i="1"/>
  <c r="G3497" i="1"/>
  <c r="A3497" i="1"/>
  <c r="B3497" i="1"/>
  <c r="H3497" i="1"/>
  <c r="I3497" i="1"/>
  <c r="D3498" i="1"/>
  <c r="E3498" i="1"/>
  <c r="F3498" i="1"/>
  <c r="G3498" i="1"/>
  <c r="A3498" i="1"/>
  <c r="B3498" i="1"/>
  <c r="H3498" i="1"/>
  <c r="I3498" i="1"/>
  <c r="D1644" i="1"/>
  <c r="E1644" i="1"/>
  <c r="F1644" i="1"/>
  <c r="G1644" i="1"/>
  <c r="A1644" i="1"/>
  <c r="B1644" i="1"/>
  <c r="H1644" i="1"/>
  <c r="I1644" i="1"/>
  <c r="D1642" i="1"/>
  <c r="E1642" i="1"/>
  <c r="F1642" i="1"/>
  <c r="G1642" i="1"/>
  <c r="A1642" i="1"/>
  <c r="B1642" i="1"/>
  <c r="H1642" i="1"/>
  <c r="I1642" i="1"/>
  <c r="D1643" i="1"/>
  <c r="E1643" i="1"/>
  <c r="F1643" i="1"/>
  <c r="G1643" i="1"/>
  <c r="A1643" i="1"/>
  <c r="B1643" i="1"/>
  <c r="H1643" i="1"/>
  <c r="I1643" i="1"/>
  <c r="D260" i="1"/>
  <c r="E260" i="1"/>
  <c r="F260" i="1"/>
  <c r="G260" i="1"/>
  <c r="A260" i="1"/>
  <c r="B260" i="1"/>
  <c r="H260" i="1"/>
  <c r="I260" i="1"/>
  <c r="D1648" i="1"/>
  <c r="E1648" i="1"/>
  <c r="F1648" i="1"/>
  <c r="G1648" i="1"/>
  <c r="A1648" i="1"/>
  <c r="B1648" i="1"/>
  <c r="H1648" i="1"/>
  <c r="I1648" i="1"/>
  <c r="D251" i="1"/>
  <c r="E251" i="1"/>
  <c r="F251" i="1"/>
  <c r="G251" i="1"/>
  <c r="A251" i="1"/>
  <c r="B251" i="1"/>
  <c r="H251" i="1"/>
  <c r="I251" i="1"/>
  <c r="D257" i="1"/>
  <c r="E257" i="1"/>
  <c r="F257" i="1"/>
  <c r="G257" i="1"/>
  <c r="A257" i="1"/>
  <c r="B257" i="1"/>
  <c r="H257" i="1"/>
  <c r="I257" i="1"/>
  <c r="D1400" i="1"/>
  <c r="E1400" i="1"/>
  <c r="F1400" i="1"/>
  <c r="G1400" i="1"/>
  <c r="A1400" i="1"/>
  <c r="B1400" i="1"/>
  <c r="H1400" i="1"/>
  <c r="I1400" i="1"/>
  <c r="D259" i="1"/>
  <c r="E259" i="1"/>
  <c r="F259" i="1"/>
  <c r="G259" i="1"/>
  <c r="A259" i="1"/>
  <c r="B259" i="1"/>
  <c r="H259" i="1"/>
  <c r="I259" i="1"/>
  <c r="D1401" i="1"/>
  <c r="E1401" i="1"/>
  <c r="F1401" i="1"/>
  <c r="G1401" i="1"/>
  <c r="A1401" i="1"/>
  <c r="B1401" i="1"/>
  <c r="H1401" i="1"/>
  <c r="I1401" i="1"/>
  <c r="D2753" i="1"/>
  <c r="E2753" i="1"/>
  <c r="F2753" i="1"/>
  <c r="G2753" i="1"/>
  <c r="A2753" i="1"/>
  <c r="B2753" i="1"/>
  <c r="H2753" i="1"/>
  <c r="I2753" i="1"/>
  <c r="D2691" i="1"/>
  <c r="E2691" i="1"/>
  <c r="F2691" i="1"/>
  <c r="G2691" i="1"/>
  <c r="A2691" i="1"/>
  <c r="B2691" i="1"/>
  <c r="H2691" i="1"/>
  <c r="I2691" i="1"/>
  <c r="D2616" i="1"/>
  <c r="E2616" i="1"/>
  <c r="F2616" i="1"/>
  <c r="G2616" i="1"/>
  <c r="A2616" i="1"/>
  <c r="B2616" i="1"/>
  <c r="H2616" i="1"/>
  <c r="I2616" i="1"/>
  <c r="D471" i="1"/>
  <c r="E471" i="1"/>
  <c r="F471" i="1"/>
  <c r="G471" i="1"/>
  <c r="A471" i="1"/>
  <c r="B471" i="1"/>
  <c r="H471" i="1"/>
  <c r="I471" i="1"/>
  <c r="D1636" i="1"/>
  <c r="E1636" i="1"/>
  <c r="F1636" i="1"/>
  <c r="G1636" i="1"/>
  <c r="A1636" i="1"/>
  <c r="B1636" i="1"/>
  <c r="H1636" i="1"/>
  <c r="I1636" i="1"/>
  <c r="D1371" i="1"/>
  <c r="E1371" i="1"/>
  <c r="F1371" i="1"/>
  <c r="G1371" i="1"/>
  <c r="A1371" i="1"/>
  <c r="B1371" i="1"/>
  <c r="H1371" i="1"/>
  <c r="I1371" i="1"/>
  <c r="D1370" i="1"/>
  <c r="E1370" i="1"/>
  <c r="F1370" i="1"/>
  <c r="G1370" i="1"/>
  <c r="A1370" i="1"/>
  <c r="B1370" i="1"/>
  <c r="H1370" i="1"/>
  <c r="I1370" i="1"/>
  <c r="D1372" i="1"/>
  <c r="E1372" i="1"/>
  <c r="F1372" i="1"/>
  <c r="G1372" i="1"/>
  <c r="A1372" i="1"/>
  <c r="B1372" i="1"/>
  <c r="H1372" i="1"/>
  <c r="I1372" i="1"/>
  <c r="D1650" i="1"/>
  <c r="E1650" i="1"/>
  <c r="F1650" i="1"/>
  <c r="G1650" i="1"/>
  <c r="A1650" i="1"/>
  <c r="B1650" i="1"/>
  <c r="H1650" i="1"/>
  <c r="I1650" i="1"/>
  <c r="D1787" i="1"/>
  <c r="E1787" i="1"/>
  <c r="F1787" i="1"/>
  <c r="G1787" i="1"/>
  <c r="A1787" i="1"/>
  <c r="B1787" i="1"/>
  <c r="H1787" i="1"/>
  <c r="I1787" i="1"/>
  <c r="D3144" i="1"/>
  <c r="E3144" i="1"/>
  <c r="F3144" i="1"/>
  <c r="G3144" i="1"/>
  <c r="A3144" i="1"/>
  <c r="B3144" i="1"/>
  <c r="H3144" i="1"/>
  <c r="I3144" i="1"/>
  <c r="D3145" i="1"/>
  <c r="E3145" i="1"/>
  <c r="F3145" i="1"/>
  <c r="G3145" i="1"/>
  <c r="A3145" i="1"/>
  <c r="B3145" i="1"/>
  <c r="H3145" i="1"/>
  <c r="I3145" i="1"/>
  <c r="D280" i="1"/>
  <c r="E280" i="1"/>
  <c r="F280" i="1"/>
  <c r="G280" i="1"/>
  <c r="A280" i="1"/>
  <c r="B280" i="1"/>
  <c r="H280" i="1"/>
  <c r="I280" i="1"/>
  <c r="D1137" i="1"/>
  <c r="E1137" i="1"/>
  <c r="F1137" i="1"/>
  <c r="G1137" i="1"/>
  <c r="A1137" i="1"/>
  <c r="B1137" i="1"/>
  <c r="H1137" i="1"/>
  <c r="I1137" i="1"/>
  <c r="D2708" i="1"/>
  <c r="E2708" i="1"/>
  <c r="F2708" i="1"/>
  <c r="G2708" i="1"/>
  <c r="A2708" i="1"/>
  <c r="B2708" i="1"/>
  <c r="H2708" i="1"/>
  <c r="I2708" i="1"/>
  <c r="D2550" i="1"/>
  <c r="E2550" i="1"/>
  <c r="F2550" i="1"/>
  <c r="G2550" i="1"/>
  <c r="A2550" i="1"/>
  <c r="B2550" i="1"/>
  <c r="H2550" i="1"/>
  <c r="I2550" i="1"/>
  <c r="D3146" i="1"/>
  <c r="E3146" i="1"/>
  <c r="F3146" i="1"/>
  <c r="G3146" i="1"/>
  <c r="A3146" i="1"/>
  <c r="B3146" i="1"/>
  <c r="H3146" i="1"/>
  <c r="I3146" i="1"/>
  <c r="D281" i="1"/>
  <c r="E281" i="1"/>
  <c r="F281" i="1"/>
  <c r="G281" i="1"/>
  <c r="A281" i="1"/>
  <c r="B281" i="1"/>
  <c r="H281" i="1"/>
  <c r="I281" i="1"/>
  <c r="D1145" i="1"/>
  <c r="E1145" i="1"/>
  <c r="F1145" i="1"/>
  <c r="G1145" i="1"/>
  <c r="A1145" i="1"/>
  <c r="B1145" i="1"/>
  <c r="H1145" i="1"/>
  <c r="I1145" i="1"/>
  <c r="D1144" i="1"/>
  <c r="E1144" i="1"/>
  <c r="F1144" i="1"/>
  <c r="G1144" i="1"/>
  <c r="A1144" i="1"/>
  <c r="B1144" i="1"/>
  <c r="H1144" i="1"/>
  <c r="I1144" i="1"/>
  <c r="D1786" i="1"/>
  <c r="E1786" i="1"/>
  <c r="F1786" i="1"/>
  <c r="G1786" i="1"/>
  <c r="A1786" i="1"/>
  <c r="B1786" i="1"/>
  <c r="H1786" i="1"/>
  <c r="I1786" i="1"/>
  <c r="D1139" i="1"/>
  <c r="E1139" i="1"/>
  <c r="F1139" i="1"/>
  <c r="G1139" i="1"/>
  <c r="A1139" i="1"/>
  <c r="B1139" i="1"/>
  <c r="H1139" i="1"/>
  <c r="I1139" i="1"/>
  <c r="D614" i="1"/>
  <c r="E614" i="1"/>
  <c r="F614" i="1"/>
  <c r="G614" i="1"/>
  <c r="A614" i="1"/>
  <c r="B614" i="1"/>
  <c r="H614" i="1"/>
  <c r="I614" i="1"/>
  <c r="D3147" i="1"/>
  <c r="E3147" i="1"/>
  <c r="F3147" i="1"/>
  <c r="G3147" i="1"/>
  <c r="A3147" i="1"/>
  <c r="B3147" i="1"/>
  <c r="H3147" i="1"/>
  <c r="I3147" i="1"/>
  <c r="D3527" i="1"/>
  <c r="E3527" i="1"/>
  <c r="F3527" i="1"/>
  <c r="G3527" i="1"/>
  <c r="A3527" i="1"/>
  <c r="B3527" i="1"/>
  <c r="H3527" i="1"/>
  <c r="I3527" i="1"/>
  <c r="D2663" i="1"/>
  <c r="E2663" i="1"/>
  <c r="F2663" i="1"/>
  <c r="G2663" i="1"/>
  <c r="A2663" i="1"/>
  <c r="B2663" i="1"/>
  <c r="H2663" i="1"/>
  <c r="I2663" i="1"/>
  <c r="D2664" i="1"/>
  <c r="E2664" i="1"/>
  <c r="F2664" i="1"/>
  <c r="G2664" i="1"/>
  <c r="A2664" i="1"/>
  <c r="B2664" i="1"/>
  <c r="H2664" i="1"/>
  <c r="I2664" i="1"/>
  <c r="D2788" i="1"/>
  <c r="E2788" i="1"/>
  <c r="F2788" i="1"/>
  <c r="G2788" i="1"/>
  <c r="A2788" i="1"/>
  <c r="B2788" i="1"/>
  <c r="H2788" i="1"/>
  <c r="I2788" i="1"/>
  <c r="D1790" i="1"/>
  <c r="E1790" i="1"/>
  <c r="F1790" i="1"/>
  <c r="G1790" i="1"/>
  <c r="A1790" i="1"/>
  <c r="B1790" i="1"/>
  <c r="H1790" i="1"/>
  <c r="I1790" i="1"/>
  <c r="D2676" i="1"/>
  <c r="E2676" i="1"/>
  <c r="F2676" i="1"/>
  <c r="G2676" i="1"/>
  <c r="A2676" i="1"/>
  <c r="B2676" i="1"/>
  <c r="H2676" i="1"/>
  <c r="I2676" i="1"/>
  <c r="D1791" i="1"/>
  <c r="E1791" i="1"/>
  <c r="F1791" i="1"/>
  <c r="G1791" i="1"/>
  <c r="A1791" i="1"/>
  <c r="B1791" i="1"/>
  <c r="H1791" i="1"/>
  <c r="I1791" i="1"/>
  <c r="D1789" i="1"/>
  <c r="E1789" i="1"/>
  <c r="F1789" i="1"/>
  <c r="G1789" i="1"/>
  <c r="A1789" i="1"/>
  <c r="B1789" i="1"/>
  <c r="H1789" i="1"/>
  <c r="I1789" i="1"/>
  <c r="D1143" i="1"/>
  <c r="E1143" i="1"/>
  <c r="F1143" i="1"/>
  <c r="G1143" i="1"/>
  <c r="A1143" i="1"/>
  <c r="B1143" i="1"/>
  <c r="H1143" i="1"/>
  <c r="I1143" i="1"/>
  <c r="D1785" i="1"/>
  <c r="E1785" i="1"/>
  <c r="F1785" i="1"/>
  <c r="G1785" i="1"/>
  <c r="A1785" i="1"/>
  <c r="B1785" i="1"/>
  <c r="H1785" i="1"/>
  <c r="I1785" i="1"/>
  <c r="D1784" i="1"/>
  <c r="E1784" i="1"/>
  <c r="F1784" i="1"/>
  <c r="G1784" i="1"/>
  <c r="A1784" i="1"/>
  <c r="B1784" i="1"/>
  <c r="H1784" i="1"/>
  <c r="I1784" i="1"/>
  <c r="D2789" i="1"/>
  <c r="E2789" i="1"/>
  <c r="F2789" i="1"/>
  <c r="G2789" i="1"/>
  <c r="A2789" i="1"/>
  <c r="B2789" i="1"/>
  <c r="H2789" i="1"/>
  <c r="I2789" i="1"/>
  <c r="D282" i="1"/>
  <c r="E282" i="1"/>
  <c r="F282" i="1"/>
  <c r="G282" i="1"/>
  <c r="A282" i="1"/>
  <c r="B282" i="1"/>
  <c r="H282" i="1"/>
  <c r="I282" i="1"/>
  <c r="D3512" i="1"/>
  <c r="E3512" i="1"/>
  <c r="F3512" i="1"/>
  <c r="G3512" i="1"/>
  <c r="A3512" i="1"/>
  <c r="B3512" i="1"/>
  <c r="H3512" i="1"/>
  <c r="I3512" i="1"/>
  <c r="D1782" i="1"/>
  <c r="E1782" i="1"/>
  <c r="F1782" i="1"/>
  <c r="G1782" i="1"/>
  <c r="A1782" i="1"/>
  <c r="B1782" i="1"/>
  <c r="H1782" i="1"/>
  <c r="I1782" i="1"/>
  <c r="D1788" i="1"/>
  <c r="E1788" i="1"/>
  <c r="F1788" i="1"/>
  <c r="G1788" i="1"/>
  <c r="A1788" i="1"/>
  <c r="B1788" i="1"/>
  <c r="H1788" i="1"/>
  <c r="I1788" i="1"/>
  <c r="D2709" i="1"/>
  <c r="E2709" i="1"/>
  <c r="F2709" i="1"/>
  <c r="G2709" i="1"/>
  <c r="A2709" i="1"/>
  <c r="B2709" i="1"/>
  <c r="H2709" i="1"/>
  <c r="I2709" i="1"/>
  <c r="D1783" i="1"/>
  <c r="E1783" i="1"/>
  <c r="F1783" i="1"/>
  <c r="G1783" i="1"/>
  <c r="A1783" i="1"/>
  <c r="B1783" i="1"/>
  <c r="H1783" i="1"/>
  <c r="I1783" i="1"/>
  <c r="D358" i="1"/>
  <c r="E358" i="1"/>
  <c r="F358" i="1"/>
  <c r="G358" i="1"/>
  <c r="A358" i="1"/>
  <c r="B358" i="1"/>
  <c r="H358" i="1"/>
  <c r="I358" i="1"/>
  <c r="D1142" i="1"/>
  <c r="E1142" i="1"/>
  <c r="F1142" i="1"/>
  <c r="G1142" i="1"/>
  <c r="A1142" i="1"/>
  <c r="B1142" i="1"/>
  <c r="H1142" i="1"/>
  <c r="I1142" i="1"/>
  <c r="D1141" i="1"/>
  <c r="E1141" i="1"/>
  <c r="F1141" i="1"/>
  <c r="G1141" i="1"/>
  <c r="A1141" i="1"/>
  <c r="B1141" i="1"/>
  <c r="H1141" i="1"/>
  <c r="I1141" i="1"/>
  <c r="D2661" i="1"/>
  <c r="E2661" i="1"/>
  <c r="F2661" i="1"/>
  <c r="G2661" i="1"/>
  <c r="A2661" i="1"/>
  <c r="B2661" i="1"/>
  <c r="H2661" i="1"/>
  <c r="I2661" i="1"/>
  <c r="D2662" i="1"/>
  <c r="E2662" i="1"/>
  <c r="F2662" i="1"/>
  <c r="G2662" i="1"/>
  <c r="A2662" i="1"/>
  <c r="B2662" i="1"/>
  <c r="H2662" i="1"/>
  <c r="I2662" i="1"/>
  <c r="D2707" i="1"/>
  <c r="E2707" i="1"/>
  <c r="F2707" i="1"/>
  <c r="G2707" i="1"/>
  <c r="A2707" i="1"/>
  <c r="B2707" i="1"/>
  <c r="H2707" i="1"/>
  <c r="I2707" i="1"/>
  <c r="D1138" i="1"/>
  <c r="E1138" i="1"/>
  <c r="F1138" i="1"/>
  <c r="G1138" i="1"/>
  <c r="A1138" i="1"/>
  <c r="B1138" i="1"/>
  <c r="H1138" i="1"/>
  <c r="I1138" i="1"/>
  <c r="D2706" i="1"/>
  <c r="E2706" i="1"/>
  <c r="F2706" i="1"/>
  <c r="G2706" i="1"/>
  <c r="A2706" i="1"/>
  <c r="B2706" i="1"/>
  <c r="H2706" i="1"/>
  <c r="I2706" i="1"/>
  <c r="D2786" i="1"/>
  <c r="E2786" i="1"/>
  <c r="F2786" i="1"/>
  <c r="G2786" i="1"/>
  <c r="A2786" i="1"/>
  <c r="B2786" i="1"/>
  <c r="H2786" i="1"/>
  <c r="I2786" i="1"/>
  <c r="D2787" i="1"/>
  <c r="E2787" i="1"/>
  <c r="F2787" i="1"/>
  <c r="G2787" i="1"/>
  <c r="A2787" i="1"/>
  <c r="B2787" i="1"/>
  <c r="H2787" i="1"/>
  <c r="I2787" i="1"/>
  <c r="D2675" i="1"/>
  <c r="E2675" i="1"/>
  <c r="F2675" i="1"/>
  <c r="G2675" i="1"/>
  <c r="A2675" i="1"/>
  <c r="B2675" i="1"/>
  <c r="H2675" i="1"/>
  <c r="I2675" i="1"/>
  <c r="D2790" i="1"/>
  <c r="E2790" i="1"/>
  <c r="F2790" i="1"/>
  <c r="G2790" i="1"/>
  <c r="A2790" i="1"/>
  <c r="B2790" i="1"/>
  <c r="H2790" i="1"/>
  <c r="I2790" i="1"/>
  <c r="D1140" i="1"/>
  <c r="E1140" i="1"/>
  <c r="F1140" i="1"/>
  <c r="G1140" i="1"/>
  <c r="A1140" i="1"/>
  <c r="B1140" i="1"/>
  <c r="H1140" i="1"/>
  <c r="I1140" i="1"/>
  <c r="D3251" i="1"/>
  <c r="E3251" i="1"/>
  <c r="F3251" i="1"/>
  <c r="G3251" i="1"/>
  <c r="A3251" i="1"/>
  <c r="B3251" i="1"/>
  <c r="H3251" i="1"/>
  <c r="I3251" i="1"/>
  <c r="D3047" i="1"/>
  <c r="E3047" i="1"/>
  <c r="F3047" i="1"/>
  <c r="G3047" i="1"/>
  <c r="A3047" i="1"/>
  <c r="B3047" i="1"/>
  <c r="H3047" i="1"/>
  <c r="I3047" i="1"/>
  <c r="D1792" i="1"/>
  <c r="E1792" i="1"/>
  <c r="F1792" i="1"/>
  <c r="G1792" i="1"/>
  <c r="A1792" i="1"/>
  <c r="B1792" i="1"/>
  <c r="H1792" i="1"/>
  <c r="I1792" i="1"/>
  <c r="D279" i="1"/>
  <c r="E279" i="1"/>
  <c r="F279" i="1"/>
  <c r="G279" i="1"/>
  <c r="A279" i="1"/>
  <c r="B279" i="1"/>
  <c r="H279" i="1"/>
  <c r="I279" i="1"/>
  <c r="D3055" i="1"/>
  <c r="E3055" i="1"/>
  <c r="F3055" i="1"/>
  <c r="G3055" i="1"/>
  <c r="A3055" i="1"/>
  <c r="B3055" i="1"/>
  <c r="H3055" i="1"/>
  <c r="I3055" i="1"/>
  <c r="D1802" i="1"/>
  <c r="E1802" i="1"/>
  <c r="F1802" i="1"/>
  <c r="G1802" i="1"/>
  <c r="A1802" i="1"/>
  <c r="B1802" i="1"/>
  <c r="H1802" i="1"/>
  <c r="I1802" i="1"/>
  <c r="D1805" i="1"/>
  <c r="E1805" i="1"/>
  <c r="F1805" i="1"/>
  <c r="G1805" i="1"/>
  <c r="A1805" i="1"/>
  <c r="B1805" i="1"/>
  <c r="H1805" i="1"/>
  <c r="I1805" i="1"/>
  <c r="D1804" i="1"/>
  <c r="E1804" i="1"/>
  <c r="F1804" i="1"/>
  <c r="G1804" i="1"/>
  <c r="A1804" i="1"/>
  <c r="B1804" i="1"/>
  <c r="H1804" i="1"/>
  <c r="I1804" i="1"/>
  <c r="D1807" i="1"/>
  <c r="E1807" i="1"/>
  <c r="F1807" i="1"/>
  <c r="G1807" i="1"/>
  <c r="A1807" i="1"/>
  <c r="B1807" i="1"/>
  <c r="H1807" i="1"/>
  <c r="I1807" i="1"/>
  <c r="D3234" i="1"/>
  <c r="E3234" i="1"/>
  <c r="F3234" i="1"/>
  <c r="G3234" i="1"/>
  <c r="A3234" i="1"/>
  <c r="B3234" i="1"/>
  <c r="H3234" i="1"/>
  <c r="I3234" i="1"/>
  <c r="D1796" i="1"/>
  <c r="E1796" i="1"/>
  <c r="F1796" i="1"/>
  <c r="G1796" i="1"/>
  <c r="A1796" i="1"/>
  <c r="B1796" i="1"/>
  <c r="H1796" i="1"/>
  <c r="I1796" i="1"/>
  <c r="D1800" i="1"/>
  <c r="E1800" i="1"/>
  <c r="F1800" i="1"/>
  <c r="G1800" i="1"/>
  <c r="A1800" i="1"/>
  <c r="B1800" i="1"/>
  <c r="H1800" i="1"/>
  <c r="I1800" i="1"/>
  <c r="D1794" i="1"/>
  <c r="E1794" i="1"/>
  <c r="F1794" i="1"/>
  <c r="G1794" i="1"/>
  <c r="A1794" i="1"/>
  <c r="B1794" i="1"/>
  <c r="H1794" i="1"/>
  <c r="I1794" i="1"/>
  <c r="D2562" i="1"/>
  <c r="E2562" i="1"/>
  <c r="F2562" i="1"/>
  <c r="G2562" i="1"/>
  <c r="A2562" i="1"/>
  <c r="B2562" i="1"/>
  <c r="H2562" i="1"/>
  <c r="I2562" i="1"/>
  <c r="D1808" i="1"/>
  <c r="E1808" i="1"/>
  <c r="F1808" i="1"/>
  <c r="G1808" i="1"/>
  <c r="A1808" i="1"/>
  <c r="B1808" i="1"/>
  <c r="H1808" i="1"/>
  <c r="I1808" i="1"/>
  <c r="D1797" i="1"/>
  <c r="E1797" i="1"/>
  <c r="F1797" i="1"/>
  <c r="G1797" i="1"/>
  <c r="A1797" i="1"/>
  <c r="B1797" i="1"/>
  <c r="H1797" i="1"/>
  <c r="I1797" i="1"/>
  <c r="D1801" i="1"/>
  <c r="E1801" i="1"/>
  <c r="F1801" i="1"/>
  <c r="G1801" i="1"/>
  <c r="A1801" i="1"/>
  <c r="B1801" i="1"/>
  <c r="H1801" i="1"/>
  <c r="I1801" i="1"/>
  <c r="D1806" i="1"/>
  <c r="E1806" i="1"/>
  <c r="F1806" i="1"/>
  <c r="G1806" i="1"/>
  <c r="A1806" i="1"/>
  <c r="B1806" i="1"/>
  <c r="H1806" i="1"/>
  <c r="I1806" i="1"/>
  <c r="D1803" i="1"/>
  <c r="E1803" i="1"/>
  <c r="F1803" i="1"/>
  <c r="G1803" i="1"/>
  <c r="A1803" i="1"/>
  <c r="B1803" i="1"/>
  <c r="H1803" i="1"/>
  <c r="I1803" i="1"/>
  <c r="D283" i="1"/>
  <c r="E283" i="1"/>
  <c r="F283" i="1"/>
  <c r="G283" i="1"/>
  <c r="A283" i="1"/>
  <c r="B283" i="1"/>
  <c r="H283" i="1"/>
  <c r="I283" i="1"/>
  <c r="D1065" i="1"/>
  <c r="E1065" i="1"/>
  <c r="F1065" i="1"/>
  <c r="G1065" i="1"/>
  <c r="A1065" i="1"/>
  <c r="B1065" i="1"/>
  <c r="H1065" i="1"/>
  <c r="I1065" i="1"/>
  <c r="D3500" i="1"/>
  <c r="E3500" i="1"/>
  <c r="F3500" i="1"/>
  <c r="G3500" i="1"/>
  <c r="A3500" i="1"/>
  <c r="B3500" i="1"/>
  <c r="H3500" i="1"/>
  <c r="I3500" i="1"/>
  <c r="D1798" i="1"/>
  <c r="E1798" i="1"/>
  <c r="F1798" i="1"/>
  <c r="G1798" i="1"/>
  <c r="A1798" i="1"/>
  <c r="B1798" i="1"/>
  <c r="H1798" i="1"/>
  <c r="I1798" i="1"/>
  <c r="D1795" i="1"/>
  <c r="E1795" i="1"/>
  <c r="F1795" i="1"/>
  <c r="G1795" i="1"/>
  <c r="A1795" i="1"/>
  <c r="B1795" i="1"/>
  <c r="H1795" i="1"/>
  <c r="I1795" i="1"/>
  <c r="D1799" i="1"/>
  <c r="E1799" i="1"/>
  <c r="F1799" i="1"/>
  <c r="G1799" i="1"/>
  <c r="A1799" i="1"/>
  <c r="B1799" i="1"/>
  <c r="H1799" i="1"/>
  <c r="I1799" i="1"/>
  <c r="D1064" i="1"/>
  <c r="E1064" i="1"/>
  <c r="F1064" i="1"/>
  <c r="G1064" i="1"/>
  <c r="A1064" i="1"/>
  <c r="B1064" i="1"/>
  <c r="H1064" i="1"/>
  <c r="I1064" i="1"/>
  <c r="D3046" i="1"/>
  <c r="E3046" i="1"/>
  <c r="F3046" i="1"/>
  <c r="G3046" i="1"/>
  <c r="A3046" i="1"/>
  <c r="B3046" i="1"/>
  <c r="H3046" i="1"/>
  <c r="I3046" i="1"/>
  <c r="D1824" i="1"/>
  <c r="E1824" i="1"/>
  <c r="F1824" i="1"/>
  <c r="G1824" i="1"/>
  <c r="A1824" i="1"/>
  <c r="B1824" i="1"/>
  <c r="H1824" i="1"/>
  <c r="I1824" i="1"/>
  <c r="D3072" i="1"/>
  <c r="E3072" i="1"/>
  <c r="F3072" i="1"/>
  <c r="G3072" i="1"/>
  <c r="A3072" i="1"/>
  <c r="B3072" i="1"/>
  <c r="H3072" i="1"/>
  <c r="I3072" i="1"/>
  <c r="D1835" i="1"/>
  <c r="E1835" i="1"/>
  <c r="F1835" i="1"/>
  <c r="G1835" i="1"/>
  <c r="A1835" i="1"/>
  <c r="B1835" i="1"/>
  <c r="H1835" i="1"/>
  <c r="I1835" i="1"/>
  <c r="D3148" i="1"/>
  <c r="E3148" i="1"/>
  <c r="F3148" i="1"/>
  <c r="G3148" i="1"/>
  <c r="A3148" i="1"/>
  <c r="B3148" i="1"/>
  <c r="H3148" i="1"/>
  <c r="I3148" i="1"/>
  <c r="D1820" i="1"/>
  <c r="E1820" i="1"/>
  <c r="F1820" i="1"/>
  <c r="G1820" i="1"/>
  <c r="A1820" i="1"/>
  <c r="B1820" i="1"/>
  <c r="H1820" i="1"/>
  <c r="I1820" i="1"/>
  <c r="D1821" i="1"/>
  <c r="E1821" i="1"/>
  <c r="F1821" i="1"/>
  <c r="G1821" i="1"/>
  <c r="A1821" i="1"/>
  <c r="B1821" i="1"/>
  <c r="H1821" i="1"/>
  <c r="I1821" i="1"/>
  <c r="D1830" i="1"/>
  <c r="E1830" i="1"/>
  <c r="F1830" i="1"/>
  <c r="G1830" i="1"/>
  <c r="A1830" i="1"/>
  <c r="B1830" i="1"/>
  <c r="H1830" i="1"/>
  <c r="I1830" i="1"/>
  <c r="D1819" i="1"/>
  <c r="E1819" i="1"/>
  <c r="F1819" i="1"/>
  <c r="G1819" i="1"/>
  <c r="A1819" i="1"/>
  <c r="B1819" i="1"/>
  <c r="H1819" i="1"/>
  <c r="I1819" i="1"/>
  <c r="D1817" i="1"/>
  <c r="E1817" i="1"/>
  <c r="F1817" i="1"/>
  <c r="G1817" i="1"/>
  <c r="A1817" i="1"/>
  <c r="B1817" i="1"/>
  <c r="H1817" i="1"/>
  <c r="I1817" i="1"/>
  <c r="D1828" i="1"/>
  <c r="E1828" i="1"/>
  <c r="F1828" i="1"/>
  <c r="G1828" i="1"/>
  <c r="A1828" i="1"/>
  <c r="B1828" i="1"/>
  <c r="H1828" i="1"/>
  <c r="I1828" i="1"/>
  <c r="D1831" i="1"/>
  <c r="E1831" i="1"/>
  <c r="F1831" i="1"/>
  <c r="G1831" i="1"/>
  <c r="A1831" i="1"/>
  <c r="B1831" i="1"/>
  <c r="H1831" i="1"/>
  <c r="I1831" i="1"/>
  <c r="D1826" i="1"/>
  <c r="E1826" i="1"/>
  <c r="F1826" i="1"/>
  <c r="G1826" i="1"/>
  <c r="A1826" i="1"/>
  <c r="B1826" i="1"/>
  <c r="H1826" i="1"/>
  <c r="I1826" i="1"/>
  <c r="D1832" i="1"/>
  <c r="E1832" i="1"/>
  <c r="F1832" i="1"/>
  <c r="G1832" i="1"/>
  <c r="A1832" i="1"/>
  <c r="B1832" i="1"/>
  <c r="H1832" i="1"/>
  <c r="I1832" i="1"/>
  <c r="D1834" i="1"/>
  <c r="E1834" i="1"/>
  <c r="F1834" i="1"/>
  <c r="G1834" i="1"/>
  <c r="A1834" i="1"/>
  <c r="B1834" i="1"/>
  <c r="H1834" i="1"/>
  <c r="I1834" i="1"/>
  <c r="D1818" i="1"/>
  <c r="E1818" i="1"/>
  <c r="F1818" i="1"/>
  <c r="G1818" i="1"/>
  <c r="A1818" i="1"/>
  <c r="B1818" i="1"/>
  <c r="H1818" i="1"/>
  <c r="I1818" i="1"/>
  <c r="D1823" i="1"/>
  <c r="E1823" i="1"/>
  <c r="F1823" i="1"/>
  <c r="G1823" i="1"/>
  <c r="A1823" i="1"/>
  <c r="B1823" i="1"/>
  <c r="H1823" i="1"/>
  <c r="I1823" i="1"/>
  <c r="D1822" i="1"/>
  <c r="E1822" i="1"/>
  <c r="F1822" i="1"/>
  <c r="G1822" i="1"/>
  <c r="A1822" i="1"/>
  <c r="B1822" i="1"/>
  <c r="H1822" i="1"/>
  <c r="I1822" i="1"/>
  <c r="D1825" i="1"/>
  <c r="E1825" i="1"/>
  <c r="F1825" i="1"/>
  <c r="G1825" i="1"/>
  <c r="A1825" i="1"/>
  <c r="B1825" i="1"/>
  <c r="H1825" i="1"/>
  <c r="I1825" i="1"/>
  <c r="D1833" i="1"/>
  <c r="E1833" i="1"/>
  <c r="F1833" i="1"/>
  <c r="G1833" i="1"/>
  <c r="A1833" i="1"/>
  <c r="B1833" i="1"/>
  <c r="H1833" i="1"/>
  <c r="I1833" i="1"/>
  <c r="D1829" i="1"/>
  <c r="E1829" i="1"/>
  <c r="F1829" i="1"/>
  <c r="G1829" i="1"/>
  <c r="A1829" i="1"/>
  <c r="B1829" i="1"/>
  <c r="H1829" i="1"/>
  <c r="I1829" i="1"/>
  <c r="D1836" i="1"/>
  <c r="E1836" i="1"/>
  <c r="F1836" i="1"/>
  <c r="G1836" i="1"/>
  <c r="A1836" i="1"/>
  <c r="B1836" i="1"/>
  <c r="H1836" i="1"/>
  <c r="I1836" i="1"/>
  <c r="D1827" i="1"/>
  <c r="E1827" i="1"/>
  <c r="F1827" i="1"/>
  <c r="G1827" i="1"/>
  <c r="A1827" i="1"/>
  <c r="B1827" i="1"/>
  <c r="H1827" i="1"/>
  <c r="I1827" i="1"/>
  <c r="D1363" i="1"/>
  <c r="E1363" i="1"/>
  <c r="F1363" i="1"/>
  <c r="G1363" i="1"/>
  <c r="A1363" i="1"/>
  <c r="B1363" i="1"/>
  <c r="H1363" i="1"/>
  <c r="I1363" i="1"/>
  <c r="D1353" i="1"/>
  <c r="E1353" i="1"/>
  <c r="F1353" i="1"/>
  <c r="G1353" i="1"/>
  <c r="A1353" i="1"/>
  <c r="B1353" i="1"/>
  <c r="H1353" i="1"/>
  <c r="I1353" i="1"/>
  <c r="D383" i="1"/>
  <c r="E383" i="1"/>
  <c r="F383" i="1"/>
  <c r="G383" i="1"/>
  <c r="A383" i="1"/>
  <c r="B383" i="1"/>
  <c r="H383" i="1"/>
  <c r="I383" i="1"/>
  <c r="D1850" i="1"/>
  <c r="E1850" i="1"/>
  <c r="F1850" i="1"/>
  <c r="G1850" i="1"/>
  <c r="A1850" i="1"/>
  <c r="B1850" i="1"/>
  <c r="H1850" i="1"/>
  <c r="I1850" i="1"/>
  <c r="D1854" i="1"/>
  <c r="E1854" i="1"/>
  <c r="F1854" i="1"/>
  <c r="G1854" i="1"/>
  <c r="A1854" i="1"/>
  <c r="B1854" i="1"/>
  <c r="H1854" i="1"/>
  <c r="I1854" i="1"/>
  <c r="D394" i="1"/>
  <c r="E394" i="1"/>
  <c r="F394" i="1"/>
  <c r="G394" i="1"/>
  <c r="A394" i="1"/>
  <c r="B394" i="1"/>
  <c r="H394" i="1"/>
  <c r="I394" i="1"/>
  <c r="D1358" i="1"/>
  <c r="E1358" i="1"/>
  <c r="F1358" i="1"/>
  <c r="G1358" i="1"/>
  <c r="A1358" i="1"/>
  <c r="B1358" i="1"/>
  <c r="H1358" i="1"/>
  <c r="I1358" i="1"/>
  <c r="D1851" i="1"/>
  <c r="E1851" i="1"/>
  <c r="F1851" i="1"/>
  <c r="G1851" i="1"/>
  <c r="A1851" i="1"/>
  <c r="B1851" i="1"/>
  <c r="H1851" i="1"/>
  <c r="I1851" i="1"/>
  <c r="D1855" i="1"/>
  <c r="E1855" i="1"/>
  <c r="F1855" i="1"/>
  <c r="G1855" i="1"/>
  <c r="A1855" i="1"/>
  <c r="B1855" i="1"/>
  <c r="H1855" i="1"/>
  <c r="I1855" i="1"/>
  <c r="D1354" i="1"/>
  <c r="E1354" i="1"/>
  <c r="F1354" i="1"/>
  <c r="G1354" i="1"/>
  <c r="A1354" i="1"/>
  <c r="B1354" i="1"/>
  <c r="H1354" i="1"/>
  <c r="I1354" i="1"/>
  <c r="D610" i="1"/>
  <c r="E610" i="1"/>
  <c r="F610" i="1"/>
  <c r="G610" i="1"/>
  <c r="A610" i="1"/>
  <c r="B610" i="1"/>
  <c r="H610" i="1"/>
  <c r="I610" i="1"/>
  <c r="D1357" i="1"/>
  <c r="E1357" i="1"/>
  <c r="F1357" i="1"/>
  <c r="G1357" i="1"/>
  <c r="A1357" i="1"/>
  <c r="B1357" i="1"/>
  <c r="H1357" i="1"/>
  <c r="I1357" i="1"/>
  <c r="D392" i="1"/>
  <c r="E392" i="1"/>
  <c r="F392" i="1"/>
  <c r="G392" i="1"/>
  <c r="A392" i="1"/>
  <c r="B392" i="1"/>
  <c r="H392" i="1"/>
  <c r="I392" i="1"/>
  <c r="D389" i="1"/>
  <c r="E389" i="1"/>
  <c r="F389" i="1"/>
  <c r="G389" i="1"/>
  <c r="A389" i="1"/>
  <c r="B389" i="1"/>
  <c r="H389" i="1"/>
  <c r="I389" i="1"/>
  <c r="D3249" i="1"/>
  <c r="E3249" i="1"/>
  <c r="F3249" i="1"/>
  <c r="G3249" i="1"/>
  <c r="A3249" i="1"/>
  <c r="B3249" i="1"/>
  <c r="H3249" i="1"/>
  <c r="I3249" i="1"/>
  <c r="D1365" i="1"/>
  <c r="E1365" i="1"/>
  <c r="F1365" i="1"/>
  <c r="G1365" i="1"/>
  <c r="A1365" i="1"/>
  <c r="B1365" i="1"/>
  <c r="H1365" i="1"/>
  <c r="I1365" i="1"/>
  <c r="D391" i="1"/>
  <c r="E391" i="1"/>
  <c r="F391" i="1"/>
  <c r="G391" i="1"/>
  <c r="A391" i="1"/>
  <c r="B391" i="1"/>
  <c r="H391" i="1"/>
  <c r="I391" i="1"/>
  <c r="D1853" i="1"/>
  <c r="E1853" i="1"/>
  <c r="F1853" i="1"/>
  <c r="G1853" i="1"/>
  <c r="A1853" i="1"/>
  <c r="B1853" i="1"/>
  <c r="H1853" i="1"/>
  <c r="I1853" i="1"/>
  <c r="D1356" i="1"/>
  <c r="E1356" i="1"/>
  <c r="F1356" i="1"/>
  <c r="G1356" i="1"/>
  <c r="A1356" i="1"/>
  <c r="B1356" i="1"/>
  <c r="H1356" i="1"/>
  <c r="I1356" i="1"/>
  <c r="D2711" i="1"/>
  <c r="E2711" i="1"/>
  <c r="F2711" i="1"/>
  <c r="G2711" i="1"/>
  <c r="A2711" i="1"/>
  <c r="B2711" i="1"/>
  <c r="H2711" i="1"/>
  <c r="I2711" i="1"/>
  <c r="D390" i="1"/>
  <c r="E390" i="1"/>
  <c r="F390" i="1"/>
  <c r="G390" i="1"/>
  <c r="A390" i="1"/>
  <c r="B390" i="1"/>
  <c r="H390" i="1"/>
  <c r="I390" i="1"/>
  <c r="D382" i="1"/>
  <c r="E382" i="1"/>
  <c r="F382" i="1"/>
  <c r="G382" i="1"/>
  <c r="A382" i="1"/>
  <c r="B382" i="1"/>
  <c r="H382" i="1"/>
  <c r="I382" i="1"/>
  <c r="D2590" i="1"/>
  <c r="E2590" i="1"/>
  <c r="F2590" i="1"/>
  <c r="G2590" i="1"/>
  <c r="A2590" i="1"/>
  <c r="B2590" i="1"/>
  <c r="H2590" i="1"/>
  <c r="I2590" i="1"/>
  <c r="D1362" i="1"/>
  <c r="E1362" i="1"/>
  <c r="F1362" i="1"/>
  <c r="G1362" i="1"/>
  <c r="A1362" i="1"/>
  <c r="B1362" i="1"/>
  <c r="H1362" i="1"/>
  <c r="I1362" i="1"/>
  <c r="D393" i="1"/>
  <c r="E393" i="1"/>
  <c r="F393" i="1"/>
  <c r="G393" i="1"/>
  <c r="A393" i="1"/>
  <c r="B393" i="1"/>
  <c r="H393" i="1"/>
  <c r="I393" i="1"/>
  <c r="D1849" i="1"/>
  <c r="E1849" i="1"/>
  <c r="F1849" i="1"/>
  <c r="G1849" i="1"/>
  <c r="A1849" i="1"/>
  <c r="B1849" i="1"/>
  <c r="H1849" i="1"/>
  <c r="I1849" i="1"/>
  <c r="D1368" i="1"/>
  <c r="E1368" i="1"/>
  <c r="F1368" i="1"/>
  <c r="G1368" i="1"/>
  <c r="A1368" i="1"/>
  <c r="B1368" i="1"/>
  <c r="H1368" i="1"/>
  <c r="I1368" i="1"/>
  <c r="D2621" i="1"/>
  <c r="E2621" i="1"/>
  <c r="F2621" i="1"/>
  <c r="G2621" i="1"/>
  <c r="A2621" i="1"/>
  <c r="B2621" i="1"/>
  <c r="H2621" i="1"/>
  <c r="I2621" i="1"/>
  <c r="D1369" i="1"/>
  <c r="E1369" i="1"/>
  <c r="F1369" i="1"/>
  <c r="G1369" i="1"/>
  <c r="A1369" i="1"/>
  <c r="B1369" i="1"/>
  <c r="H1369" i="1"/>
  <c r="I1369" i="1"/>
  <c r="D138" i="1"/>
  <c r="E138" i="1"/>
  <c r="F138" i="1"/>
  <c r="G138" i="1"/>
  <c r="A138" i="1"/>
  <c r="B138" i="1"/>
  <c r="H138" i="1"/>
  <c r="I138" i="1"/>
  <c r="D384" i="1"/>
  <c r="E384" i="1"/>
  <c r="F384" i="1"/>
  <c r="G384" i="1"/>
  <c r="A384" i="1"/>
  <c r="B384" i="1"/>
  <c r="H384" i="1"/>
  <c r="I384" i="1"/>
  <c r="D1852" i="1"/>
  <c r="E1852" i="1"/>
  <c r="F1852" i="1"/>
  <c r="G1852" i="1"/>
  <c r="A1852" i="1"/>
  <c r="B1852" i="1"/>
  <c r="H1852" i="1"/>
  <c r="I1852" i="1"/>
  <c r="D612" i="1"/>
  <c r="E612" i="1"/>
  <c r="F612" i="1"/>
  <c r="G612" i="1"/>
  <c r="A612" i="1"/>
  <c r="B612" i="1"/>
  <c r="H612" i="1"/>
  <c r="I612" i="1"/>
  <c r="D613" i="1"/>
  <c r="E613" i="1"/>
  <c r="F613" i="1"/>
  <c r="G613" i="1"/>
  <c r="A613" i="1"/>
  <c r="B613" i="1"/>
  <c r="H613" i="1"/>
  <c r="I613" i="1"/>
  <c r="D1361" i="1"/>
  <c r="E1361" i="1"/>
  <c r="F1361" i="1"/>
  <c r="G1361" i="1"/>
  <c r="A1361" i="1"/>
  <c r="B1361" i="1"/>
  <c r="H1361" i="1"/>
  <c r="I1361" i="1"/>
  <c r="D1848" i="1"/>
  <c r="E1848" i="1"/>
  <c r="F1848" i="1"/>
  <c r="G1848" i="1"/>
  <c r="A1848" i="1"/>
  <c r="B1848" i="1"/>
  <c r="H1848" i="1"/>
  <c r="I1848" i="1"/>
  <c r="D1364" i="1"/>
  <c r="E1364" i="1"/>
  <c r="F1364" i="1"/>
  <c r="G1364" i="1"/>
  <c r="A1364" i="1"/>
  <c r="B1364" i="1"/>
  <c r="H1364" i="1"/>
  <c r="I1364" i="1"/>
  <c r="D2847" i="1"/>
  <c r="E2847" i="1"/>
  <c r="F2847" i="1"/>
  <c r="G2847" i="1"/>
  <c r="A2847" i="1"/>
  <c r="B2847" i="1"/>
  <c r="H2847" i="1"/>
  <c r="I2847" i="1"/>
  <c r="D2671" i="1"/>
  <c r="E2671" i="1"/>
  <c r="F2671" i="1"/>
  <c r="G2671" i="1"/>
  <c r="A2671" i="1"/>
  <c r="B2671" i="1"/>
  <c r="H2671" i="1"/>
  <c r="I2671" i="1"/>
  <c r="D1367" i="1"/>
  <c r="E1367" i="1"/>
  <c r="F1367" i="1"/>
  <c r="G1367" i="1"/>
  <c r="A1367" i="1"/>
  <c r="B1367" i="1"/>
  <c r="H1367" i="1"/>
  <c r="I1367" i="1"/>
  <c r="D611" i="1"/>
  <c r="E611" i="1"/>
  <c r="F611" i="1"/>
  <c r="G611" i="1"/>
  <c r="A611" i="1"/>
  <c r="B611" i="1"/>
  <c r="H611" i="1"/>
  <c r="I611" i="1"/>
  <c r="D1355" i="1"/>
  <c r="E1355" i="1"/>
  <c r="F1355" i="1"/>
  <c r="G1355" i="1"/>
  <c r="A1355" i="1"/>
  <c r="B1355" i="1"/>
  <c r="H1355" i="1"/>
  <c r="I1355" i="1"/>
  <c r="D2852" i="1"/>
  <c r="E2852" i="1"/>
  <c r="F2852" i="1"/>
  <c r="G2852" i="1"/>
  <c r="A2852" i="1"/>
  <c r="B2852" i="1"/>
  <c r="H2852" i="1"/>
  <c r="I2852" i="1"/>
  <c r="D386" i="1"/>
  <c r="E386" i="1"/>
  <c r="F386" i="1"/>
  <c r="G386" i="1"/>
  <c r="A386" i="1"/>
  <c r="B386" i="1"/>
  <c r="H386" i="1"/>
  <c r="I386" i="1"/>
  <c r="D2710" i="1"/>
  <c r="E2710" i="1"/>
  <c r="F2710" i="1"/>
  <c r="G2710" i="1"/>
  <c r="A2710" i="1"/>
  <c r="B2710" i="1"/>
  <c r="H2710" i="1"/>
  <c r="I2710" i="1"/>
  <c r="D1373" i="1"/>
  <c r="E1373" i="1"/>
  <c r="F1373" i="1"/>
  <c r="G1373" i="1"/>
  <c r="A1373" i="1"/>
  <c r="B1373" i="1"/>
  <c r="H1373" i="1"/>
  <c r="I1373" i="1"/>
  <c r="D1374" i="1"/>
  <c r="E1374" i="1"/>
  <c r="F1374" i="1"/>
  <c r="G1374" i="1"/>
  <c r="A1374" i="1"/>
  <c r="B1374" i="1"/>
  <c r="H1374" i="1"/>
  <c r="I1374" i="1"/>
  <c r="D2672" i="1"/>
  <c r="E2672" i="1"/>
  <c r="F2672" i="1"/>
  <c r="G2672" i="1"/>
  <c r="A2672" i="1"/>
  <c r="B2672" i="1"/>
  <c r="H2672" i="1"/>
  <c r="I2672" i="1"/>
  <c r="D1847" i="1"/>
  <c r="E1847" i="1"/>
  <c r="F1847" i="1"/>
  <c r="G1847" i="1"/>
  <c r="A1847" i="1"/>
  <c r="B1847" i="1"/>
  <c r="H1847" i="1"/>
  <c r="I1847" i="1"/>
  <c r="D385" i="1"/>
  <c r="E385" i="1"/>
  <c r="F385" i="1"/>
  <c r="G385" i="1"/>
  <c r="A385" i="1"/>
  <c r="B385" i="1"/>
  <c r="H385" i="1"/>
  <c r="I385" i="1"/>
  <c r="D1858" i="1"/>
  <c r="E1858" i="1"/>
  <c r="F1858" i="1"/>
  <c r="G1858" i="1"/>
  <c r="A1858" i="1"/>
  <c r="B1858" i="1"/>
  <c r="H1858" i="1"/>
  <c r="I1858" i="1"/>
  <c r="D1862" i="1"/>
  <c r="E1862" i="1"/>
  <c r="F1862" i="1"/>
  <c r="G1862" i="1"/>
  <c r="A1862" i="1"/>
  <c r="B1862" i="1"/>
  <c r="H1862" i="1"/>
  <c r="I1862" i="1"/>
  <c r="D1079" i="1"/>
  <c r="E1079" i="1"/>
  <c r="F1079" i="1"/>
  <c r="G1079" i="1"/>
  <c r="A1079" i="1"/>
  <c r="B1079" i="1"/>
  <c r="H1079" i="1"/>
  <c r="I1079" i="1"/>
  <c r="D145" i="1"/>
  <c r="E145" i="1"/>
  <c r="F145" i="1"/>
  <c r="G145" i="1"/>
  <c r="A145" i="1"/>
  <c r="B145" i="1"/>
  <c r="H145" i="1"/>
  <c r="I145" i="1"/>
  <c r="D118" i="1"/>
  <c r="E118" i="1"/>
  <c r="F118" i="1"/>
  <c r="G118" i="1"/>
  <c r="A118" i="1"/>
  <c r="B118" i="1"/>
  <c r="H118" i="1"/>
  <c r="I118" i="1"/>
  <c r="D1860" i="1"/>
  <c r="E1860" i="1"/>
  <c r="F1860" i="1"/>
  <c r="G1860" i="1"/>
  <c r="A1860" i="1"/>
  <c r="B1860" i="1"/>
  <c r="H1860" i="1"/>
  <c r="I1860" i="1"/>
  <c r="D1859" i="1"/>
  <c r="E1859" i="1"/>
  <c r="F1859" i="1"/>
  <c r="G1859" i="1"/>
  <c r="A1859" i="1"/>
  <c r="B1859" i="1"/>
  <c r="H1859" i="1"/>
  <c r="I1859" i="1"/>
  <c r="D1863" i="1"/>
  <c r="E1863" i="1"/>
  <c r="F1863" i="1"/>
  <c r="G1863" i="1"/>
  <c r="A1863" i="1"/>
  <c r="B1863" i="1"/>
  <c r="H1863" i="1"/>
  <c r="I1863" i="1"/>
  <c r="D2796" i="1"/>
  <c r="E2796" i="1"/>
  <c r="F2796" i="1"/>
  <c r="G2796" i="1"/>
  <c r="A2796" i="1"/>
  <c r="B2796" i="1"/>
  <c r="H2796" i="1"/>
  <c r="I2796" i="1"/>
  <c r="D3231" i="1"/>
  <c r="E3231" i="1"/>
  <c r="F3231" i="1"/>
  <c r="G3231" i="1"/>
  <c r="A3231" i="1"/>
  <c r="B3231" i="1"/>
  <c r="H3231" i="1"/>
  <c r="I3231" i="1"/>
  <c r="D729" i="1"/>
  <c r="E729" i="1"/>
  <c r="F729" i="1"/>
  <c r="G729" i="1"/>
  <c r="A729" i="1"/>
  <c r="B729" i="1"/>
  <c r="H729" i="1"/>
  <c r="I729" i="1"/>
  <c r="D1080" i="1"/>
  <c r="E1080" i="1"/>
  <c r="F1080" i="1"/>
  <c r="G1080" i="1"/>
  <c r="A1080" i="1"/>
  <c r="B1080" i="1"/>
  <c r="H1080" i="1"/>
  <c r="I1080" i="1"/>
  <c r="D119" i="1"/>
  <c r="E119" i="1"/>
  <c r="F119" i="1"/>
  <c r="G119" i="1"/>
  <c r="A119" i="1"/>
  <c r="B119" i="1"/>
  <c r="H119" i="1"/>
  <c r="I119" i="1"/>
  <c r="D1861" i="1"/>
  <c r="E1861" i="1"/>
  <c r="F1861" i="1"/>
  <c r="G1861" i="1"/>
  <c r="A1861" i="1"/>
  <c r="B1861" i="1"/>
  <c r="H1861" i="1"/>
  <c r="I1861" i="1"/>
  <c r="D1857" i="1"/>
  <c r="E1857" i="1"/>
  <c r="F1857" i="1"/>
  <c r="G1857" i="1"/>
  <c r="A1857" i="1"/>
  <c r="B1857" i="1"/>
  <c r="H1857" i="1"/>
  <c r="I1857" i="1"/>
  <c r="D1864" i="1"/>
  <c r="E1864" i="1"/>
  <c r="F1864" i="1"/>
  <c r="G1864" i="1"/>
  <c r="A1864" i="1"/>
  <c r="B1864" i="1"/>
  <c r="H1864" i="1"/>
  <c r="I1864" i="1"/>
  <c r="D1856" i="1"/>
  <c r="E1856" i="1"/>
  <c r="F1856" i="1"/>
  <c r="G1856" i="1"/>
  <c r="A1856" i="1"/>
  <c r="B1856" i="1"/>
  <c r="H1856" i="1"/>
  <c r="I1856" i="1"/>
  <c r="D2795" i="1"/>
  <c r="E2795" i="1"/>
  <c r="F2795" i="1"/>
  <c r="G2795" i="1"/>
  <c r="A2795" i="1"/>
  <c r="B2795" i="1"/>
  <c r="H2795" i="1"/>
  <c r="I2795" i="1"/>
  <c r="D3232" i="1"/>
  <c r="E3232" i="1"/>
  <c r="F3232" i="1"/>
  <c r="G3232" i="1"/>
  <c r="A3232" i="1"/>
  <c r="B3232" i="1"/>
  <c r="H3232" i="1"/>
  <c r="I3232" i="1"/>
  <c r="D1866" i="1"/>
  <c r="E1866" i="1"/>
  <c r="F1866" i="1"/>
  <c r="G1866" i="1"/>
  <c r="A1866" i="1"/>
  <c r="B1866" i="1"/>
  <c r="H1866" i="1"/>
  <c r="I1866" i="1"/>
  <c r="D1865" i="1"/>
  <c r="E1865" i="1"/>
  <c r="F1865" i="1"/>
  <c r="G1865" i="1"/>
  <c r="A1865" i="1"/>
  <c r="B1865" i="1"/>
  <c r="H1865" i="1"/>
  <c r="I1865" i="1"/>
  <c r="D570" i="1"/>
  <c r="E570" i="1"/>
  <c r="F570" i="1"/>
  <c r="G570" i="1"/>
  <c r="A570" i="1"/>
  <c r="B570" i="1"/>
  <c r="H570" i="1"/>
  <c r="I570" i="1"/>
  <c r="D2833" i="1"/>
  <c r="E2833" i="1"/>
  <c r="F2833" i="1"/>
  <c r="G2833" i="1"/>
  <c r="A2833" i="1"/>
  <c r="B2833" i="1"/>
  <c r="H2833" i="1"/>
  <c r="I2833" i="1"/>
  <c r="D1923" i="1"/>
  <c r="E1923" i="1"/>
  <c r="F1923" i="1"/>
  <c r="G1923" i="1"/>
  <c r="A1923" i="1"/>
  <c r="B1923" i="1"/>
  <c r="H1923" i="1"/>
  <c r="I1923" i="1"/>
  <c r="D2679" i="1"/>
  <c r="E2679" i="1"/>
  <c r="F2679" i="1"/>
  <c r="G2679" i="1"/>
  <c r="A2679" i="1"/>
  <c r="B2679" i="1"/>
  <c r="H2679" i="1"/>
  <c r="I2679" i="1"/>
  <c r="D1933" i="1"/>
  <c r="E1933" i="1"/>
  <c r="F1933" i="1"/>
  <c r="G1933" i="1"/>
  <c r="A1933" i="1"/>
  <c r="B1933" i="1"/>
  <c r="H1933" i="1"/>
  <c r="I1933" i="1"/>
  <c r="D94" i="1"/>
  <c r="E94" i="1"/>
  <c r="F94" i="1"/>
  <c r="G94" i="1"/>
  <c r="A94" i="1"/>
  <c r="B94" i="1"/>
  <c r="H94" i="1"/>
  <c r="I94" i="1"/>
  <c r="D556" i="1"/>
  <c r="E556" i="1"/>
  <c r="F556" i="1"/>
  <c r="G556" i="1"/>
  <c r="A556" i="1"/>
  <c r="B556" i="1"/>
  <c r="H556" i="1"/>
  <c r="I556" i="1"/>
  <c r="D1920" i="1"/>
  <c r="E1920" i="1"/>
  <c r="F1920" i="1"/>
  <c r="G1920" i="1"/>
  <c r="A1920" i="1"/>
  <c r="B1920" i="1"/>
  <c r="H1920" i="1"/>
  <c r="I1920" i="1"/>
  <c r="D1929" i="1"/>
  <c r="E1929" i="1"/>
  <c r="F1929" i="1"/>
  <c r="G1929" i="1"/>
  <c r="A1929" i="1"/>
  <c r="B1929" i="1"/>
  <c r="H1929" i="1"/>
  <c r="I1929" i="1"/>
  <c r="D593" i="1"/>
  <c r="E593" i="1"/>
  <c r="F593" i="1"/>
  <c r="G593" i="1"/>
  <c r="A593" i="1"/>
  <c r="B593" i="1"/>
  <c r="H593" i="1"/>
  <c r="I593" i="1"/>
  <c r="D582" i="1"/>
  <c r="E582" i="1"/>
  <c r="F582" i="1"/>
  <c r="G582" i="1"/>
  <c r="A582" i="1"/>
  <c r="B582" i="1"/>
  <c r="H582" i="1"/>
  <c r="I582" i="1"/>
  <c r="D598" i="1"/>
  <c r="E598" i="1"/>
  <c r="F598" i="1"/>
  <c r="G598" i="1"/>
  <c r="A598" i="1"/>
  <c r="B598" i="1"/>
  <c r="H598" i="1"/>
  <c r="I598" i="1"/>
  <c r="D575" i="1"/>
  <c r="E575" i="1"/>
  <c r="F575" i="1"/>
  <c r="G575" i="1"/>
  <c r="A575" i="1"/>
  <c r="B575" i="1"/>
  <c r="H575" i="1"/>
  <c r="I575" i="1"/>
  <c r="D3354" i="1"/>
  <c r="E3354" i="1"/>
  <c r="F3354" i="1"/>
  <c r="G3354" i="1"/>
  <c r="A3354" i="1"/>
  <c r="B3354" i="1"/>
  <c r="H3354" i="1"/>
  <c r="I3354" i="1"/>
  <c r="D1918" i="1"/>
  <c r="E1918" i="1"/>
  <c r="F1918" i="1"/>
  <c r="G1918" i="1"/>
  <c r="A1918" i="1"/>
  <c r="B1918" i="1"/>
  <c r="H1918" i="1"/>
  <c r="I1918" i="1"/>
  <c r="D1109" i="1"/>
  <c r="E1109" i="1"/>
  <c r="F1109" i="1"/>
  <c r="G1109" i="1"/>
  <c r="A1109" i="1"/>
  <c r="B1109" i="1"/>
  <c r="H1109" i="1"/>
  <c r="I1109" i="1"/>
  <c r="D2832" i="1"/>
  <c r="E2832" i="1"/>
  <c r="F2832" i="1"/>
  <c r="G2832" i="1"/>
  <c r="A2832" i="1"/>
  <c r="B2832" i="1"/>
  <c r="H2832" i="1"/>
  <c r="I2832" i="1"/>
  <c r="D583" i="1"/>
  <c r="E583" i="1"/>
  <c r="F583" i="1"/>
  <c r="G583" i="1"/>
  <c r="A583" i="1"/>
  <c r="B583" i="1"/>
  <c r="H583" i="1"/>
  <c r="I583" i="1"/>
  <c r="D1912" i="1"/>
  <c r="E1912" i="1"/>
  <c r="F1912" i="1"/>
  <c r="G1912" i="1"/>
  <c r="A1912" i="1"/>
  <c r="B1912" i="1"/>
  <c r="H1912" i="1"/>
  <c r="I1912" i="1"/>
  <c r="D557" i="1"/>
  <c r="E557" i="1"/>
  <c r="F557" i="1"/>
  <c r="G557" i="1"/>
  <c r="A557" i="1"/>
  <c r="B557" i="1"/>
  <c r="H557" i="1"/>
  <c r="I557" i="1"/>
  <c r="D1949" i="1"/>
  <c r="E1949" i="1"/>
  <c r="F1949" i="1"/>
  <c r="G1949" i="1"/>
  <c r="A1949" i="1"/>
  <c r="B1949" i="1"/>
  <c r="H1949" i="1"/>
  <c r="I1949" i="1"/>
  <c r="D595" i="1"/>
  <c r="E595" i="1"/>
  <c r="F595" i="1"/>
  <c r="G595" i="1"/>
  <c r="A595" i="1"/>
  <c r="B595" i="1"/>
  <c r="H595" i="1"/>
  <c r="I595" i="1"/>
  <c r="D574" i="1"/>
  <c r="E574" i="1"/>
  <c r="F574" i="1"/>
  <c r="G574" i="1"/>
  <c r="A574" i="1"/>
  <c r="B574" i="1"/>
  <c r="H574" i="1"/>
  <c r="I574" i="1"/>
  <c r="D1925" i="1"/>
  <c r="E1925" i="1"/>
  <c r="F1925" i="1"/>
  <c r="G1925" i="1"/>
  <c r="A1925" i="1"/>
  <c r="B1925" i="1"/>
  <c r="H1925" i="1"/>
  <c r="I1925" i="1"/>
  <c r="D1945" i="1"/>
  <c r="E1945" i="1"/>
  <c r="F1945" i="1"/>
  <c r="G1945" i="1"/>
  <c r="A1945" i="1"/>
  <c r="B1945" i="1"/>
  <c r="H1945" i="1"/>
  <c r="I1945" i="1"/>
  <c r="D1915" i="1"/>
  <c r="E1915" i="1"/>
  <c r="F1915" i="1"/>
  <c r="G1915" i="1"/>
  <c r="A1915" i="1"/>
  <c r="B1915" i="1"/>
  <c r="H1915" i="1"/>
  <c r="I1915" i="1"/>
  <c r="D1934" i="1"/>
  <c r="E1934" i="1"/>
  <c r="F1934" i="1"/>
  <c r="G1934" i="1"/>
  <c r="A1934" i="1"/>
  <c r="B1934" i="1"/>
  <c r="H1934" i="1"/>
  <c r="I1934" i="1"/>
  <c r="D2680" i="1"/>
  <c r="E2680" i="1"/>
  <c r="F2680" i="1"/>
  <c r="G2680" i="1"/>
  <c r="A2680" i="1"/>
  <c r="B2680" i="1"/>
  <c r="H2680" i="1"/>
  <c r="I2680" i="1"/>
  <c r="D1928" i="1"/>
  <c r="E1928" i="1"/>
  <c r="F1928" i="1"/>
  <c r="G1928" i="1"/>
  <c r="A1928" i="1"/>
  <c r="B1928" i="1"/>
  <c r="H1928" i="1"/>
  <c r="I1928" i="1"/>
  <c r="D586" i="1"/>
  <c r="E586" i="1"/>
  <c r="F586" i="1"/>
  <c r="G586" i="1"/>
  <c r="A586" i="1"/>
  <c r="B586" i="1"/>
  <c r="H586" i="1"/>
  <c r="I586" i="1"/>
  <c r="D589" i="1"/>
  <c r="E589" i="1"/>
  <c r="F589" i="1"/>
  <c r="G589" i="1"/>
  <c r="A589" i="1"/>
  <c r="B589" i="1"/>
  <c r="H589" i="1"/>
  <c r="I589" i="1"/>
  <c r="D1937" i="1"/>
  <c r="E1937" i="1"/>
  <c r="F1937" i="1"/>
  <c r="G1937" i="1"/>
  <c r="A1937" i="1"/>
  <c r="B1937" i="1"/>
  <c r="H1937" i="1"/>
  <c r="I1937" i="1"/>
  <c r="D3355" i="1"/>
  <c r="E3355" i="1"/>
  <c r="F3355" i="1"/>
  <c r="G3355" i="1"/>
  <c r="A3355" i="1"/>
  <c r="B3355" i="1"/>
  <c r="H3355" i="1"/>
  <c r="I3355" i="1"/>
  <c r="D581" i="1"/>
  <c r="E581" i="1"/>
  <c r="F581" i="1"/>
  <c r="G581" i="1"/>
  <c r="A581" i="1"/>
  <c r="B581" i="1"/>
  <c r="H581" i="1"/>
  <c r="I581" i="1"/>
  <c r="D554" i="1"/>
  <c r="E554" i="1"/>
  <c r="F554" i="1"/>
  <c r="G554" i="1"/>
  <c r="A554" i="1"/>
  <c r="B554" i="1"/>
  <c r="H554" i="1"/>
  <c r="I554" i="1"/>
  <c r="D1948" i="1"/>
  <c r="E1948" i="1"/>
  <c r="F1948" i="1"/>
  <c r="G1948" i="1"/>
  <c r="A1948" i="1"/>
  <c r="B1948" i="1"/>
  <c r="H1948" i="1"/>
  <c r="I1948" i="1"/>
  <c r="D588" i="1"/>
  <c r="E588" i="1"/>
  <c r="F588" i="1"/>
  <c r="G588" i="1"/>
  <c r="A588" i="1"/>
  <c r="B588" i="1"/>
  <c r="H588" i="1"/>
  <c r="I588" i="1"/>
  <c r="D155" i="1"/>
  <c r="E155" i="1"/>
  <c r="F155" i="1"/>
  <c r="G155" i="1"/>
  <c r="A155" i="1"/>
  <c r="B155" i="1"/>
  <c r="H155" i="1"/>
  <c r="I155" i="1"/>
  <c r="D3352" i="1"/>
  <c r="E3352" i="1"/>
  <c r="F3352" i="1"/>
  <c r="G3352" i="1"/>
  <c r="A3352" i="1"/>
  <c r="B3352" i="1"/>
  <c r="H3352" i="1"/>
  <c r="I3352" i="1"/>
  <c r="D1943" i="1"/>
  <c r="E1943" i="1"/>
  <c r="F1943" i="1"/>
  <c r="G1943" i="1"/>
  <c r="A1943" i="1"/>
  <c r="B1943" i="1"/>
  <c r="H1943" i="1"/>
  <c r="I1943" i="1"/>
  <c r="D597" i="1"/>
  <c r="E597" i="1"/>
  <c r="F597" i="1"/>
  <c r="G597" i="1"/>
  <c r="A597" i="1"/>
  <c r="B597" i="1"/>
  <c r="H597" i="1"/>
  <c r="I597" i="1"/>
  <c r="D1112" i="1"/>
  <c r="E1112" i="1"/>
  <c r="F1112" i="1"/>
  <c r="G1112" i="1"/>
  <c r="A1112" i="1"/>
  <c r="B1112" i="1"/>
  <c r="H1112" i="1"/>
  <c r="I1112" i="1"/>
  <c r="D566" i="1"/>
  <c r="E566" i="1"/>
  <c r="F566" i="1"/>
  <c r="G566" i="1"/>
  <c r="A566" i="1"/>
  <c r="B566" i="1"/>
  <c r="H566" i="1"/>
  <c r="I566" i="1"/>
  <c r="D1919" i="1"/>
  <c r="E1919" i="1"/>
  <c r="F1919" i="1"/>
  <c r="G1919" i="1"/>
  <c r="A1919" i="1"/>
  <c r="B1919" i="1"/>
  <c r="H1919" i="1"/>
  <c r="I1919" i="1"/>
  <c r="D1921" i="1"/>
  <c r="E1921" i="1"/>
  <c r="F1921" i="1"/>
  <c r="G1921" i="1"/>
  <c r="A1921" i="1"/>
  <c r="B1921" i="1"/>
  <c r="H1921" i="1"/>
  <c r="I1921" i="1"/>
  <c r="D1932" i="1"/>
  <c r="E1932" i="1"/>
  <c r="F1932" i="1"/>
  <c r="G1932" i="1"/>
  <c r="A1932" i="1"/>
  <c r="B1932" i="1"/>
  <c r="H1932" i="1"/>
  <c r="I1932" i="1"/>
  <c r="D591" i="1"/>
  <c r="E591" i="1"/>
  <c r="F591" i="1"/>
  <c r="G591" i="1"/>
  <c r="A591" i="1"/>
  <c r="B591" i="1"/>
  <c r="H591" i="1"/>
  <c r="I591" i="1"/>
  <c r="D1939" i="1"/>
  <c r="E1939" i="1"/>
  <c r="F1939" i="1"/>
  <c r="G1939" i="1"/>
  <c r="A1939" i="1"/>
  <c r="B1939" i="1"/>
  <c r="H1939" i="1"/>
  <c r="I1939" i="1"/>
  <c r="D1942" i="1"/>
  <c r="E1942" i="1"/>
  <c r="F1942" i="1"/>
  <c r="G1942" i="1"/>
  <c r="A1942" i="1"/>
  <c r="B1942" i="1"/>
  <c r="H1942" i="1"/>
  <c r="I1942" i="1"/>
  <c r="D558" i="1"/>
  <c r="E558" i="1"/>
  <c r="F558" i="1"/>
  <c r="G558" i="1"/>
  <c r="A558" i="1"/>
  <c r="B558" i="1"/>
  <c r="H558" i="1"/>
  <c r="I558" i="1"/>
  <c r="D560" i="1"/>
  <c r="E560" i="1"/>
  <c r="F560" i="1"/>
  <c r="G560" i="1"/>
  <c r="A560" i="1"/>
  <c r="B560" i="1"/>
  <c r="H560" i="1"/>
  <c r="I560" i="1"/>
  <c r="D562" i="1"/>
  <c r="E562" i="1"/>
  <c r="F562" i="1"/>
  <c r="G562" i="1"/>
  <c r="A562" i="1"/>
  <c r="B562" i="1"/>
  <c r="H562" i="1"/>
  <c r="I562" i="1"/>
  <c r="D576" i="1"/>
  <c r="E576" i="1"/>
  <c r="F576" i="1"/>
  <c r="G576" i="1"/>
  <c r="A576" i="1"/>
  <c r="B576" i="1"/>
  <c r="H576" i="1"/>
  <c r="I576" i="1"/>
  <c r="D2835" i="1"/>
  <c r="E2835" i="1"/>
  <c r="F2835" i="1"/>
  <c r="G2835" i="1"/>
  <c r="A2835" i="1"/>
  <c r="B2835" i="1"/>
  <c r="H2835" i="1"/>
  <c r="I2835" i="1"/>
  <c r="D568" i="1"/>
  <c r="E568" i="1"/>
  <c r="F568" i="1"/>
  <c r="G568" i="1"/>
  <c r="A568" i="1"/>
  <c r="B568" i="1"/>
  <c r="H568" i="1"/>
  <c r="I568" i="1"/>
  <c r="D91" i="1"/>
  <c r="E91" i="1"/>
  <c r="F91" i="1"/>
  <c r="G91" i="1"/>
  <c r="A91" i="1"/>
  <c r="B91" i="1"/>
  <c r="H91" i="1"/>
  <c r="I91" i="1"/>
  <c r="D1924" i="1"/>
  <c r="E1924" i="1"/>
  <c r="F1924" i="1"/>
  <c r="G1924" i="1"/>
  <c r="A1924" i="1"/>
  <c r="B1924" i="1"/>
  <c r="H1924" i="1"/>
  <c r="I1924" i="1"/>
  <c r="D555" i="1"/>
  <c r="E555" i="1"/>
  <c r="F555" i="1"/>
  <c r="G555" i="1"/>
  <c r="A555" i="1"/>
  <c r="B555" i="1"/>
  <c r="H555" i="1"/>
  <c r="I555" i="1"/>
  <c r="D3351" i="1"/>
  <c r="E3351" i="1"/>
  <c r="F3351" i="1"/>
  <c r="G3351" i="1"/>
  <c r="A3351" i="1"/>
  <c r="B3351" i="1"/>
  <c r="H3351" i="1"/>
  <c r="I3351" i="1"/>
  <c r="D590" i="1"/>
  <c r="E590" i="1"/>
  <c r="F590" i="1"/>
  <c r="G590" i="1"/>
  <c r="A590" i="1"/>
  <c r="B590" i="1"/>
  <c r="H590" i="1"/>
  <c r="I590" i="1"/>
  <c r="D3353" i="1"/>
  <c r="E3353" i="1"/>
  <c r="F3353" i="1"/>
  <c r="G3353" i="1"/>
  <c r="A3353" i="1"/>
  <c r="B3353" i="1"/>
  <c r="H3353" i="1"/>
  <c r="I3353" i="1"/>
  <c r="D1946" i="1"/>
  <c r="E1946" i="1"/>
  <c r="F1946" i="1"/>
  <c r="G1946" i="1"/>
  <c r="A1946" i="1"/>
  <c r="B1946" i="1"/>
  <c r="H1946" i="1"/>
  <c r="I1946" i="1"/>
  <c r="D1938" i="1"/>
  <c r="E1938" i="1"/>
  <c r="F1938" i="1"/>
  <c r="G1938" i="1"/>
  <c r="A1938" i="1"/>
  <c r="B1938" i="1"/>
  <c r="H1938" i="1"/>
  <c r="I1938" i="1"/>
  <c r="D1910" i="1"/>
  <c r="E1910" i="1"/>
  <c r="F1910" i="1"/>
  <c r="G1910" i="1"/>
  <c r="A1910" i="1"/>
  <c r="B1910" i="1"/>
  <c r="H1910" i="1"/>
  <c r="I1910" i="1"/>
  <c r="D1106" i="1"/>
  <c r="E1106" i="1"/>
  <c r="F1106" i="1"/>
  <c r="G1106" i="1"/>
  <c r="A1106" i="1"/>
  <c r="B1106" i="1"/>
  <c r="H1106" i="1"/>
  <c r="I1106" i="1"/>
  <c r="D1926" i="1"/>
  <c r="E1926" i="1"/>
  <c r="F1926" i="1"/>
  <c r="G1926" i="1"/>
  <c r="A1926" i="1"/>
  <c r="B1926" i="1"/>
  <c r="H1926" i="1"/>
  <c r="I1926" i="1"/>
  <c r="D592" i="1"/>
  <c r="E592" i="1"/>
  <c r="F592" i="1"/>
  <c r="G592" i="1"/>
  <c r="A592" i="1"/>
  <c r="B592" i="1"/>
  <c r="H592" i="1"/>
  <c r="I592" i="1"/>
  <c r="D1936" i="1"/>
  <c r="E1936" i="1"/>
  <c r="F1936" i="1"/>
  <c r="G1936" i="1"/>
  <c r="A1936" i="1"/>
  <c r="B1936" i="1"/>
  <c r="H1936" i="1"/>
  <c r="I1936" i="1"/>
  <c r="D1911" i="1"/>
  <c r="E1911" i="1"/>
  <c r="F1911" i="1"/>
  <c r="G1911" i="1"/>
  <c r="A1911" i="1"/>
  <c r="B1911" i="1"/>
  <c r="H1911" i="1"/>
  <c r="I1911" i="1"/>
  <c r="D1922" i="1"/>
  <c r="E1922" i="1"/>
  <c r="F1922" i="1"/>
  <c r="G1922" i="1"/>
  <c r="A1922" i="1"/>
  <c r="B1922" i="1"/>
  <c r="H1922" i="1"/>
  <c r="I1922" i="1"/>
  <c r="D1947" i="1"/>
  <c r="E1947" i="1"/>
  <c r="F1947" i="1"/>
  <c r="G1947" i="1"/>
  <c r="A1947" i="1"/>
  <c r="B1947" i="1"/>
  <c r="H1947" i="1"/>
  <c r="I1947" i="1"/>
  <c r="D1107" i="1"/>
  <c r="E1107" i="1"/>
  <c r="F1107" i="1"/>
  <c r="G1107" i="1"/>
  <c r="A1107" i="1"/>
  <c r="B1107" i="1"/>
  <c r="H1107" i="1"/>
  <c r="I1107" i="1"/>
  <c r="D1108" i="1"/>
  <c r="E1108" i="1"/>
  <c r="F1108" i="1"/>
  <c r="G1108" i="1"/>
  <c r="A1108" i="1"/>
  <c r="B1108" i="1"/>
  <c r="H1108" i="1"/>
  <c r="I1108" i="1"/>
  <c r="D1935" i="1"/>
  <c r="E1935" i="1"/>
  <c r="F1935" i="1"/>
  <c r="G1935" i="1"/>
  <c r="A1935" i="1"/>
  <c r="B1935" i="1"/>
  <c r="H1935" i="1"/>
  <c r="I1935" i="1"/>
  <c r="D1944" i="1"/>
  <c r="E1944" i="1"/>
  <c r="F1944" i="1"/>
  <c r="G1944" i="1"/>
  <c r="A1944" i="1"/>
  <c r="B1944" i="1"/>
  <c r="H1944" i="1"/>
  <c r="I1944" i="1"/>
  <c r="D139" i="1"/>
  <c r="E139" i="1"/>
  <c r="F139" i="1"/>
  <c r="G139" i="1"/>
  <c r="A139" i="1"/>
  <c r="B139" i="1"/>
  <c r="H139" i="1"/>
  <c r="I139" i="1"/>
  <c r="D149" i="1"/>
  <c r="E149" i="1"/>
  <c r="F149" i="1"/>
  <c r="G149" i="1"/>
  <c r="A149" i="1"/>
  <c r="B149" i="1"/>
  <c r="H149" i="1"/>
  <c r="I149" i="1"/>
  <c r="D140" i="1"/>
  <c r="E140" i="1"/>
  <c r="F140" i="1"/>
  <c r="G140" i="1"/>
  <c r="A140" i="1"/>
  <c r="B140" i="1"/>
  <c r="H140" i="1"/>
  <c r="I140" i="1"/>
  <c r="D141" i="1"/>
  <c r="E141" i="1"/>
  <c r="F141" i="1"/>
  <c r="G141" i="1"/>
  <c r="A141" i="1"/>
  <c r="B141" i="1"/>
  <c r="H141" i="1"/>
  <c r="I141" i="1"/>
  <c r="D142" i="1"/>
  <c r="E142" i="1"/>
  <c r="F142" i="1"/>
  <c r="G142" i="1"/>
  <c r="A142" i="1"/>
  <c r="B142" i="1"/>
  <c r="H142" i="1"/>
  <c r="I142" i="1"/>
  <c r="D143" i="1"/>
  <c r="E143" i="1"/>
  <c r="F143" i="1"/>
  <c r="G143" i="1"/>
  <c r="A143" i="1"/>
  <c r="B143" i="1"/>
  <c r="H143" i="1"/>
  <c r="I143" i="1"/>
  <c r="D144" i="1"/>
  <c r="E144" i="1"/>
  <c r="F144" i="1"/>
  <c r="G144" i="1"/>
  <c r="A144" i="1"/>
  <c r="B144" i="1"/>
  <c r="H144" i="1"/>
  <c r="I144" i="1"/>
  <c r="D148" i="1"/>
  <c r="E148" i="1"/>
  <c r="F148" i="1"/>
  <c r="G148" i="1"/>
  <c r="A148" i="1"/>
  <c r="B148" i="1"/>
  <c r="H148" i="1"/>
  <c r="I148" i="1"/>
  <c r="D1930" i="1"/>
  <c r="E1930" i="1"/>
  <c r="F1930" i="1"/>
  <c r="G1930" i="1"/>
  <c r="A1930" i="1"/>
  <c r="B1930" i="1"/>
  <c r="H1930" i="1"/>
  <c r="I1930" i="1"/>
  <c r="D150" i="1"/>
  <c r="E150" i="1"/>
  <c r="F150" i="1"/>
  <c r="G150" i="1"/>
  <c r="A150" i="1"/>
  <c r="B150" i="1"/>
  <c r="H150" i="1"/>
  <c r="I150" i="1"/>
  <c r="D1931" i="1"/>
  <c r="E1931" i="1"/>
  <c r="F1931" i="1"/>
  <c r="G1931" i="1"/>
  <c r="A1931" i="1"/>
  <c r="B1931" i="1"/>
  <c r="H1931" i="1"/>
  <c r="I1931" i="1"/>
  <c r="D565" i="1"/>
  <c r="E565" i="1"/>
  <c r="F565" i="1"/>
  <c r="G565" i="1"/>
  <c r="A565" i="1"/>
  <c r="B565" i="1"/>
  <c r="H565" i="1"/>
  <c r="I565" i="1"/>
  <c r="D571" i="1"/>
  <c r="E571" i="1"/>
  <c r="F571" i="1"/>
  <c r="G571" i="1"/>
  <c r="A571" i="1"/>
  <c r="B571" i="1"/>
  <c r="H571" i="1"/>
  <c r="I571" i="1"/>
  <c r="D572" i="1"/>
  <c r="E572" i="1"/>
  <c r="F572" i="1"/>
  <c r="G572" i="1"/>
  <c r="A572" i="1"/>
  <c r="B572" i="1"/>
  <c r="H572" i="1"/>
  <c r="I572" i="1"/>
  <c r="D573" i="1"/>
  <c r="E573" i="1"/>
  <c r="F573" i="1"/>
  <c r="G573" i="1"/>
  <c r="A573" i="1"/>
  <c r="B573" i="1"/>
  <c r="H573" i="1"/>
  <c r="I573" i="1"/>
  <c r="D578" i="1"/>
  <c r="E578" i="1"/>
  <c r="F578" i="1"/>
  <c r="G578" i="1"/>
  <c r="A578" i="1"/>
  <c r="B578" i="1"/>
  <c r="H578" i="1"/>
  <c r="I578" i="1"/>
  <c r="D1113" i="1"/>
  <c r="E1113" i="1"/>
  <c r="F1113" i="1"/>
  <c r="G1113" i="1"/>
  <c r="A1113" i="1"/>
  <c r="B1113" i="1"/>
  <c r="H1113" i="1"/>
  <c r="I1113" i="1"/>
  <c r="D579" i="1"/>
  <c r="E579" i="1"/>
  <c r="F579" i="1"/>
  <c r="G579" i="1"/>
  <c r="A579" i="1"/>
  <c r="B579" i="1"/>
  <c r="H579" i="1"/>
  <c r="I579" i="1"/>
  <c r="D1914" i="1"/>
  <c r="E1914" i="1"/>
  <c r="F1914" i="1"/>
  <c r="G1914" i="1"/>
  <c r="A1914" i="1"/>
  <c r="B1914" i="1"/>
  <c r="H1914" i="1"/>
  <c r="I1914" i="1"/>
  <c r="D3150" i="1"/>
  <c r="E3150" i="1"/>
  <c r="F3150" i="1"/>
  <c r="G3150" i="1"/>
  <c r="A3150" i="1"/>
  <c r="B3150" i="1"/>
  <c r="H3150" i="1"/>
  <c r="I3150" i="1"/>
  <c r="D2681" i="1"/>
  <c r="E2681" i="1"/>
  <c r="F2681" i="1"/>
  <c r="G2681" i="1"/>
  <c r="A2681" i="1"/>
  <c r="B2681" i="1"/>
  <c r="H2681" i="1"/>
  <c r="I2681" i="1"/>
  <c r="D563" i="1"/>
  <c r="E563" i="1"/>
  <c r="F563" i="1"/>
  <c r="G563" i="1"/>
  <c r="A563" i="1"/>
  <c r="B563" i="1"/>
  <c r="H563" i="1"/>
  <c r="I563" i="1"/>
  <c r="D599" i="1"/>
  <c r="E599" i="1"/>
  <c r="F599" i="1"/>
  <c r="G599" i="1"/>
  <c r="A599" i="1"/>
  <c r="B599" i="1"/>
  <c r="H599" i="1"/>
  <c r="I599" i="1"/>
  <c r="D600" i="1"/>
  <c r="E600" i="1"/>
  <c r="F600" i="1"/>
  <c r="G600" i="1"/>
  <c r="A600" i="1"/>
  <c r="B600" i="1"/>
  <c r="H600" i="1"/>
  <c r="I600" i="1"/>
  <c r="D1105" i="1"/>
  <c r="E1105" i="1"/>
  <c r="F1105" i="1"/>
  <c r="G1105" i="1"/>
  <c r="A1105" i="1"/>
  <c r="B1105" i="1"/>
  <c r="H1105" i="1"/>
  <c r="I1105" i="1"/>
  <c r="D561" i="1"/>
  <c r="E561" i="1"/>
  <c r="F561" i="1"/>
  <c r="G561" i="1"/>
  <c r="A561" i="1"/>
  <c r="B561" i="1"/>
  <c r="H561" i="1"/>
  <c r="I561" i="1"/>
  <c r="D567" i="1"/>
  <c r="E567" i="1"/>
  <c r="F567" i="1"/>
  <c r="G567" i="1"/>
  <c r="A567" i="1"/>
  <c r="B567" i="1"/>
  <c r="H567" i="1"/>
  <c r="I567" i="1"/>
  <c r="D569" i="1"/>
  <c r="E569" i="1"/>
  <c r="F569" i="1"/>
  <c r="G569" i="1"/>
  <c r="A569" i="1"/>
  <c r="B569" i="1"/>
  <c r="H569" i="1"/>
  <c r="I569" i="1"/>
  <c r="D559" i="1"/>
  <c r="E559" i="1"/>
  <c r="F559" i="1"/>
  <c r="G559" i="1"/>
  <c r="A559" i="1"/>
  <c r="B559" i="1"/>
  <c r="H559" i="1"/>
  <c r="I559" i="1"/>
  <c r="D1111" i="1"/>
  <c r="E1111" i="1"/>
  <c r="F1111" i="1"/>
  <c r="G1111" i="1"/>
  <c r="A1111" i="1"/>
  <c r="B1111" i="1"/>
  <c r="H1111" i="1"/>
  <c r="I1111" i="1"/>
  <c r="D596" i="1"/>
  <c r="E596" i="1"/>
  <c r="F596" i="1"/>
  <c r="G596" i="1"/>
  <c r="A596" i="1"/>
  <c r="B596" i="1"/>
  <c r="H596" i="1"/>
  <c r="I596" i="1"/>
  <c r="D585" i="1"/>
  <c r="E585" i="1"/>
  <c r="F585" i="1"/>
  <c r="G585" i="1"/>
  <c r="A585" i="1"/>
  <c r="B585" i="1"/>
  <c r="H585" i="1"/>
  <c r="I585" i="1"/>
  <c r="D90" i="1"/>
  <c r="E90" i="1"/>
  <c r="F90" i="1"/>
  <c r="G90" i="1"/>
  <c r="A90" i="1"/>
  <c r="B90" i="1"/>
  <c r="H90" i="1"/>
  <c r="I90" i="1"/>
  <c r="D580" i="1"/>
  <c r="E580" i="1"/>
  <c r="F580" i="1"/>
  <c r="G580" i="1"/>
  <c r="A580" i="1"/>
  <c r="B580" i="1"/>
  <c r="H580" i="1"/>
  <c r="I580" i="1"/>
  <c r="D594" i="1"/>
  <c r="E594" i="1"/>
  <c r="F594" i="1"/>
  <c r="G594" i="1"/>
  <c r="A594" i="1"/>
  <c r="B594" i="1"/>
  <c r="H594" i="1"/>
  <c r="I594" i="1"/>
  <c r="D1913" i="1"/>
  <c r="E1913" i="1"/>
  <c r="F1913" i="1"/>
  <c r="G1913" i="1"/>
  <c r="A1913" i="1"/>
  <c r="B1913" i="1"/>
  <c r="H1913" i="1"/>
  <c r="I1913" i="1"/>
  <c r="D564" i="1"/>
  <c r="E564" i="1"/>
  <c r="F564" i="1"/>
  <c r="G564" i="1"/>
  <c r="A564" i="1"/>
  <c r="B564" i="1"/>
  <c r="H564" i="1"/>
  <c r="I564" i="1"/>
  <c r="D2834" i="1"/>
  <c r="E2834" i="1"/>
  <c r="F2834" i="1"/>
  <c r="G2834" i="1"/>
  <c r="A2834" i="1"/>
  <c r="B2834" i="1"/>
  <c r="H2834" i="1"/>
  <c r="I2834" i="1"/>
  <c r="D577" i="1"/>
  <c r="E577" i="1"/>
  <c r="F577" i="1"/>
  <c r="G577" i="1"/>
  <c r="A577" i="1"/>
  <c r="B577" i="1"/>
  <c r="H577" i="1"/>
  <c r="I577" i="1"/>
  <c r="D587" i="1"/>
  <c r="E587" i="1"/>
  <c r="F587" i="1"/>
  <c r="G587" i="1"/>
  <c r="A587" i="1"/>
  <c r="B587" i="1"/>
  <c r="H587" i="1"/>
  <c r="I587" i="1"/>
  <c r="D1104" i="1"/>
  <c r="E1104" i="1"/>
  <c r="F1104" i="1"/>
  <c r="G1104" i="1"/>
  <c r="A1104" i="1"/>
  <c r="B1104" i="1"/>
  <c r="H1104" i="1"/>
  <c r="I1104" i="1"/>
  <c r="D1941" i="1"/>
  <c r="E1941" i="1"/>
  <c r="F1941" i="1"/>
  <c r="G1941" i="1"/>
  <c r="A1941" i="1"/>
  <c r="B1941" i="1"/>
  <c r="H1941" i="1"/>
  <c r="I1941" i="1"/>
  <c r="D1110" i="1"/>
  <c r="E1110" i="1"/>
  <c r="F1110" i="1"/>
  <c r="G1110" i="1"/>
  <c r="A1110" i="1"/>
  <c r="B1110" i="1"/>
  <c r="H1110" i="1"/>
  <c r="I1110" i="1"/>
  <c r="D1927" i="1"/>
  <c r="E1927" i="1"/>
  <c r="F1927" i="1"/>
  <c r="G1927" i="1"/>
  <c r="A1927" i="1"/>
  <c r="B1927" i="1"/>
  <c r="H1927" i="1"/>
  <c r="I1927" i="1"/>
  <c r="D584" i="1"/>
  <c r="E584" i="1"/>
  <c r="F584" i="1"/>
  <c r="G584" i="1"/>
  <c r="A584" i="1"/>
  <c r="B584" i="1"/>
  <c r="H584" i="1"/>
  <c r="I584" i="1"/>
  <c r="D1940" i="1"/>
  <c r="E1940" i="1"/>
  <c r="F1940" i="1"/>
  <c r="G1940" i="1"/>
  <c r="A1940" i="1"/>
  <c r="B1940" i="1"/>
  <c r="H1940" i="1"/>
  <c r="I1940" i="1"/>
  <c r="D1967" i="1"/>
  <c r="E1967" i="1"/>
  <c r="F1967" i="1"/>
  <c r="G1967" i="1"/>
  <c r="A1967" i="1"/>
  <c r="B1967" i="1"/>
  <c r="H1967" i="1"/>
  <c r="I1967" i="1"/>
  <c r="D1960" i="1"/>
  <c r="E1960" i="1"/>
  <c r="F1960" i="1"/>
  <c r="G1960" i="1"/>
  <c r="A1960" i="1"/>
  <c r="B1960" i="1"/>
  <c r="H1960" i="1"/>
  <c r="I1960" i="1"/>
  <c r="D1950" i="1"/>
  <c r="E1950" i="1"/>
  <c r="F1950" i="1"/>
  <c r="G1950" i="1"/>
  <c r="A1950" i="1"/>
  <c r="B1950" i="1"/>
  <c r="H1950" i="1"/>
  <c r="I1950" i="1"/>
  <c r="D1961" i="1"/>
  <c r="E1961" i="1"/>
  <c r="F1961" i="1"/>
  <c r="G1961" i="1"/>
  <c r="A1961" i="1"/>
  <c r="B1961" i="1"/>
  <c r="H1961" i="1"/>
  <c r="I1961" i="1"/>
  <c r="D318" i="1"/>
  <c r="E318" i="1"/>
  <c r="F318" i="1"/>
  <c r="G318" i="1"/>
  <c r="A318" i="1"/>
  <c r="B318" i="1"/>
  <c r="H318" i="1"/>
  <c r="I318" i="1"/>
  <c r="D1952" i="1"/>
  <c r="E1952" i="1"/>
  <c r="F1952" i="1"/>
  <c r="G1952" i="1"/>
  <c r="A1952" i="1"/>
  <c r="B1952" i="1"/>
  <c r="H1952" i="1"/>
  <c r="I1952" i="1"/>
  <c r="D1963" i="1"/>
  <c r="E1963" i="1"/>
  <c r="F1963" i="1"/>
  <c r="G1963" i="1"/>
  <c r="A1963" i="1"/>
  <c r="B1963" i="1"/>
  <c r="H1963" i="1"/>
  <c r="I1963" i="1"/>
  <c r="D1965" i="1"/>
  <c r="E1965" i="1"/>
  <c r="F1965" i="1"/>
  <c r="G1965" i="1"/>
  <c r="A1965" i="1"/>
  <c r="B1965" i="1"/>
  <c r="H1965" i="1"/>
  <c r="I1965" i="1"/>
  <c r="D319" i="1"/>
  <c r="E319" i="1"/>
  <c r="F319" i="1"/>
  <c r="G319" i="1"/>
  <c r="A319" i="1"/>
  <c r="B319" i="1"/>
  <c r="H319" i="1"/>
  <c r="I319" i="1"/>
  <c r="D3045" i="1"/>
  <c r="E3045" i="1"/>
  <c r="F3045" i="1"/>
  <c r="G3045" i="1"/>
  <c r="A3045" i="1"/>
  <c r="B3045" i="1"/>
  <c r="H3045" i="1"/>
  <c r="I3045" i="1"/>
  <c r="D1966" i="1"/>
  <c r="E1966" i="1"/>
  <c r="F1966" i="1"/>
  <c r="G1966" i="1"/>
  <c r="A1966" i="1"/>
  <c r="B1966" i="1"/>
  <c r="H1966" i="1"/>
  <c r="I1966" i="1"/>
  <c r="D1959" i="1"/>
  <c r="E1959" i="1"/>
  <c r="F1959" i="1"/>
  <c r="G1959" i="1"/>
  <c r="A1959" i="1"/>
  <c r="B1959" i="1"/>
  <c r="H1959" i="1"/>
  <c r="I1959" i="1"/>
  <c r="D1968" i="1"/>
  <c r="E1968" i="1"/>
  <c r="F1968" i="1"/>
  <c r="G1968" i="1"/>
  <c r="A1968" i="1"/>
  <c r="B1968" i="1"/>
  <c r="H1968" i="1"/>
  <c r="I1968" i="1"/>
  <c r="D1953" i="1"/>
  <c r="E1953" i="1"/>
  <c r="F1953" i="1"/>
  <c r="G1953" i="1"/>
  <c r="A1953" i="1"/>
  <c r="B1953" i="1"/>
  <c r="H1953" i="1"/>
  <c r="I1953" i="1"/>
  <c r="D1958" i="1"/>
  <c r="E1958" i="1"/>
  <c r="F1958" i="1"/>
  <c r="G1958" i="1"/>
  <c r="A1958" i="1"/>
  <c r="B1958" i="1"/>
  <c r="H1958" i="1"/>
  <c r="I1958" i="1"/>
  <c r="D1951" i="1"/>
  <c r="E1951" i="1"/>
  <c r="F1951" i="1"/>
  <c r="G1951" i="1"/>
  <c r="A1951" i="1"/>
  <c r="B1951" i="1"/>
  <c r="H1951" i="1"/>
  <c r="I1951" i="1"/>
  <c r="D1956" i="1"/>
  <c r="E1956" i="1"/>
  <c r="F1956" i="1"/>
  <c r="G1956" i="1"/>
  <c r="A1956" i="1"/>
  <c r="B1956" i="1"/>
  <c r="H1956" i="1"/>
  <c r="I1956" i="1"/>
  <c r="D1962" i="1"/>
  <c r="E1962" i="1"/>
  <c r="F1962" i="1"/>
  <c r="G1962" i="1"/>
  <c r="A1962" i="1"/>
  <c r="B1962" i="1"/>
  <c r="H1962" i="1"/>
  <c r="I1962" i="1"/>
  <c r="D1954" i="1"/>
  <c r="E1954" i="1"/>
  <c r="F1954" i="1"/>
  <c r="G1954" i="1"/>
  <c r="A1954" i="1"/>
  <c r="B1954" i="1"/>
  <c r="H1954" i="1"/>
  <c r="I1954" i="1"/>
  <c r="D1964" i="1"/>
  <c r="E1964" i="1"/>
  <c r="F1964" i="1"/>
  <c r="G1964" i="1"/>
  <c r="A1964" i="1"/>
  <c r="B1964" i="1"/>
  <c r="H1964" i="1"/>
  <c r="I1964" i="1"/>
  <c r="D1955" i="1"/>
  <c r="E1955" i="1"/>
  <c r="F1955" i="1"/>
  <c r="G1955" i="1"/>
  <c r="A1955" i="1"/>
  <c r="B1955" i="1"/>
  <c r="H1955" i="1"/>
  <c r="I1955" i="1"/>
  <c r="D1957" i="1"/>
  <c r="E1957" i="1"/>
  <c r="F1957" i="1"/>
  <c r="G1957" i="1"/>
  <c r="A1957" i="1"/>
  <c r="B1957" i="1"/>
  <c r="H1957" i="1"/>
  <c r="I1957" i="1"/>
  <c r="D2166" i="1"/>
  <c r="E2166" i="1"/>
  <c r="F2166" i="1"/>
  <c r="G2166" i="1"/>
  <c r="A2166" i="1"/>
  <c r="B2166" i="1"/>
  <c r="H2166" i="1"/>
  <c r="I2166" i="1"/>
  <c r="D2174" i="1"/>
  <c r="E2174" i="1"/>
  <c r="F2174" i="1"/>
  <c r="G2174" i="1"/>
  <c r="A2174" i="1"/>
  <c r="B2174" i="1"/>
  <c r="H2174" i="1"/>
  <c r="I2174" i="1"/>
  <c r="D3159" i="1"/>
  <c r="E3159" i="1"/>
  <c r="F3159" i="1"/>
  <c r="G3159" i="1"/>
  <c r="A3159" i="1"/>
  <c r="B3159" i="1"/>
  <c r="H3159" i="1"/>
  <c r="I3159" i="1"/>
  <c r="D2182" i="1"/>
  <c r="E2182" i="1"/>
  <c r="F2182" i="1"/>
  <c r="G2182" i="1"/>
  <c r="A2182" i="1"/>
  <c r="B2182" i="1"/>
  <c r="H2182" i="1"/>
  <c r="I2182" i="1"/>
  <c r="D2184" i="1"/>
  <c r="E2184" i="1"/>
  <c r="F2184" i="1"/>
  <c r="G2184" i="1"/>
  <c r="A2184" i="1"/>
  <c r="B2184" i="1"/>
  <c r="H2184" i="1"/>
  <c r="I2184" i="1"/>
  <c r="D1330" i="1"/>
  <c r="E1330" i="1"/>
  <c r="F1330" i="1"/>
  <c r="G1330" i="1"/>
  <c r="A1330" i="1"/>
  <c r="B1330" i="1"/>
  <c r="H1330" i="1"/>
  <c r="I1330" i="1"/>
  <c r="D2167" i="1"/>
  <c r="E2167" i="1"/>
  <c r="F2167" i="1"/>
  <c r="G2167" i="1"/>
  <c r="A2167" i="1"/>
  <c r="B2167" i="1"/>
  <c r="H2167" i="1"/>
  <c r="I2167" i="1"/>
  <c r="D1262" i="1"/>
  <c r="E1262" i="1"/>
  <c r="F1262" i="1"/>
  <c r="G1262" i="1"/>
  <c r="A1262" i="1"/>
  <c r="B1262" i="1"/>
  <c r="H1262" i="1"/>
  <c r="I1262" i="1"/>
  <c r="D2188" i="1"/>
  <c r="E2188" i="1"/>
  <c r="F2188" i="1"/>
  <c r="G2188" i="1"/>
  <c r="A2188" i="1"/>
  <c r="B2188" i="1"/>
  <c r="H2188" i="1"/>
  <c r="I2188" i="1"/>
  <c r="D2183" i="1"/>
  <c r="E2183" i="1"/>
  <c r="F2183" i="1"/>
  <c r="G2183" i="1"/>
  <c r="A2183" i="1"/>
  <c r="B2183" i="1"/>
  <c r="H2183" i="1"/>
  <c r="I2183" i="1"/>
  <c r="D2197" i="1"/>
  <c r="E2197" i="1"/>
  <c r="F2197" i="1"/>
  <c r="G2197" i="1"/>
  <c r="A2197" i="1"/>
  <c r="B2197" i="1"/>
  <c r="H2197" i="1"/>
  <c r="I2197" i="1"/>
  <c r="D2194" i="1"/>
  <c r="E2194" i="1"/>
  <c r="F2194" i="1"/>
  <c r="G2194" i="1"/>
  <c r="A2194" i="1"/>
  <c r="B2194" i="1"/>
  <c r="H2194" i="1"/>
  <c r="I2194" i="1"/>
  <c r="D1329" i="1"/>
  <c r="E1329" i="1"/>
  <c r="F1329" i="1"/>
  <c r="G1329" i="1"/>
  <c r="A1329" i="1"/>
  <c r="B1329" i="1"/>
  <c r="H1329" i="1"/>
  <c r="I1329" i="1"/>
  <c r="D2725" i="1"/>
  <c r="E2725" i="1"/>
  <c r="F2725" i="1"/>
  <c r="G2725" i="1"/>
  <c r="A2725" i="1"/>
  <c r="B2725" i="1"/>
  <c r="H2725" i="1"/>
  <c r="I2725" i="1"/>
  <c r="D2193" i="1"/>
  <c r="E2193" i="1"/>
  <c r="F2193" i="1"/>
  <c r="G2193" i="1"/>
  <c r="A2193" i="1"/>
  <c r="B2193" i="1"/>
  <c r="H2193" i="1"/>
  <c r="I2193" i="1"/>
  <c r="D2179" i="1"/>
  <c r="E2179" i="1"/>
  <c r="F2179" i="1"/>
  <c r="G2179" i="1"/>
  <c r="A2179" i="1"/>
  <c r="B2179" i="1"/>
  <c r="H2179" i="1"/>
  <c r="I2179" i="1"/>
  <c r="D2176" i="1"/>
  <c r="E2176" i="1"/>
  <c r="F2176" i="1"/>
  <c r="G2176" i="1"/>
  <c r="A2176" i="1"/>
  <c r="B2176" i="1"/>
  <c r="H2176" i="1"/>
  <c r="I2176" i="1"/>
  <c r="D2180" i="1"/>
  <c r="E2180" i="1"/>
  <c r="F2180" i="1"/>
  <c r="G2180" i="1"/>
  <c r="A2180" i="1"/>
  <c r="B2180" i="1"/>
  <c r="H2180" i="1"/>
  <c r="I2180" i="1"/>
  <c r="D2191" i="1"/>
  <c r="E2191" i="1"/>
  <c r="F2191" i="1"/>
  <c r="G2191" i="1"/>
  <c r="A2191" i="1"/>
  <c r="B2191" i="1"/>
  <c r="H2191" i="1"/>
  <c r="I2191" i="1"/>
  <c r="D2171" i="1"/>
  <c r="E2171" i="1"/>
  <c r="F2171" i="1"/>
  <c r="G2171" i="1"/>
  <c r="A2171" i="1"/>
  <c r="B2171" i="1"/>
  <c r="H2171" i="1"/>
  <c r="I2171" i="1"/>
  <c r="D2177" i="1"/>
  <c r="E2177" i="1"/>
  <c r="F2177" i="1"/>
  <c r="G2177" i="1"/>
  <c r="A2177" i="1"/>
  <c r="B2177" i="1"/>
  <c r="H2177" i="1"/>
  <c r="I2177" i="1"/>
  <c r="D2198" i="1"/>
  <c r="E2198" i="1"/>
  <c r="F2198" i="1"/>
  <c r="G2198" i="1"/>
  <c r="A2198" i="1"/>
  <c r="B2198" i="1"/>
  <c r="H2198" i="1"/>
  <c r="I2198" i="1"/>
  <c r="D1331" i="1"/>
  <c r="E1331" i="1"/>
  <c r="F1331" i="1"/>
  <c r="G1331" i="1"/>
  <c r="A1331" i="1"/>
  <c r="B1331" i="1"/>
  <c r="H1331" i="1"/>
  <c r="I1331" i="1"/>
  <c r="D2196" i="1"/>
  <c r="E2196" i="1"/>
  <c r="F2196" i="1"/>
  <c r="G2196" i="1"/>
  <c r="A2196" i="1"/>
  <c r="B2196" i="1"/>
  <c r="H2196" i="1"/>
  <c r="I2196" i="1"/>
  <c r="D2969" i="1"/>
  <c r="E2969" i="1"/>
  <c r="F2969" i="1"/>
  <c r="G2969" i="1"/>
  <c r="A2969" i="1"/>
  <c r="B2969" i="1"/>
  <c r="H2969" i="1"/>
  <c r="I2969" i="1"/>
  <c r="D2189" i="1"/>
  <c r="E2189" i="1"/>
  <c r="F2189" i="1"/>
  <c r="G2189" i="1"/>
  <c r="A2189" i="1"/>
  <c r="B2189" i="1"/>
  <c r="H2189" i="1"/>
  <c r="I2189" i="1"/>
  <c r="D2169" i="1"/>
  <c r="E2169" i="1"/>
  <c r="F2169" i="1"/>
  <c r="G2169" i="1"/>
  <c r="A2169" i="1"/>
  <c r="B2169" i="1"/>
  <c r="H2169" i="1"/>
  <c r="I2169" i="1"/>
  <c r="D2175" i="1"/>
  <c r="E2175" i="1"/>
  <c r="F2175" i="1"/>
  <c r="G2175" i="1"/>
  <c r="A2175" i="1"/>
  <c r="B2175" i="1"/>
  <c r="H2175" i="1"/>
  <c r="I2175" i="1"/>
  <c r="D2181" i="1"/>
  <c r="E2181" i="1"/>
  <c r="F2181" i="1"/>
  <c r="G2181" i="1"/>
  <c r="A2181" i="1"/>
  <c r="B2181" i="1"/>
  <c r="H2181" i="1"/>
  <c r="I2181" i="1"/>
  <c r="D2836" i="1"/>
  <c r="E2836" i="1"/>
  <c r="F2836" i="1"/>
  <c r="G2836" i="1"/>
  <c r="A2836" i="1"/>
  <c r="B2836" i="1"/>
  <c r="H2836" i="1"/>
  <c r="I2836" i="1"/>
  <c r="D2866" i="1"/>
  <c r="E2866" i="1"/>
  <c r="F2866" i="1"/>
  <c r="G2866" i="1"/>
  <c r="A2866" i="1"/>
  <c r="B2866" i="1"/>
  <c r="H2866" i="1"/>
  <c r="I2866" i="1"/>
  <c r="D2178" i="1"/>
  <c r="E2178" i="1"/>
  <c r="F2178" i="1"/>
  <c r="G2178" i="1"/>
  <c r="A2178" i="1"/>
  <c r="B2178" i="1"/>
  <c r="H2178" i="1"/>
  <c r="I2178" i="1"/>
  <c r="D2724" i="1"/>
  <c r="E2724" i="1"/>
  <c r="F2724" i="1"/>
  <c r="G2724" i="1"/>
  <c r="A2724" i="1"/>
  <c r="B2724" i="1"/>
  <c r="H2724" i="1"/>
  <c r="I2724" i="1"/>
  <c r="D2186" i="1"/>
  <c r="E2186" i="1"/>
  <c r="F2186" i="1"/>
  <c r="G2186" i="1"/>
  <c r="A2186" i="1"/>
  <c r="B2186" i="1"/>
  <c r="H2186" i="1"/>
  <c r="I2186" i="1"/>
  <c r="D2187" i="1"/>
  <c r="E2187" i="1"/>
  <c r="F2187" i="1"/>
  <c r="G2187" i="1"/>
  <c r="A2187" i="1"/>
  <c r="B2187" i="1"/>
  <c r="H2187" i="1"/>
  <c r="I2187" i="1"/>
  <c r="D2839" i="1"/>
  <c r="E2839" i="1"/>
  <c r="F2839" i="1"/>
  <c r="G2839" i="1"/>
  <c r="A2839" i="1"/>
  <c r="B2839" i="1"/>
  <c r="H2839" i="1"/>
  <c r="I2839" i="1"/>
  <c r="D2173" i="1"/>
  <c r="E2173" i="1"/>
  <c r="F2173" i="1"/>
  <c r="G2173" i="1"/>
  <c r="A2173" i="1"/>
  <c r="B2173" i="1"/>
  <c r="H2173" i="1"/>
  <c r="I2173" i="1"/>
  <c r="D2170" i="1"/>
  <c r="E2170" i="1"/>
  <c r="F2170" i="1"/>
  <c r="G2170" i="1"/>
  <c r="A2170" i="1"/>
  <c r="B2170" i="1"/>
  <c r="H2170" i="1"/>
  <c r="I2170" i="1"/>
  <c r="D2867" i="1"/>
  <c r="E2867" i="1"/>
  <c r="F2867" i="1"/>
  <c r="G2867" i="1"/>
  <c r="A2867" i="1"/>
  <c r="B2867" i="1"/>
  <c r="H2867" i="1"/>
  <c r="I2867" i="1"/>
  <c r="D2172" i="1"/>
  <c r="E2172" i="1"/>
  <c r="F2172" i="1"/>
  <c r="G2172" i="1"/>
  <c r="A2172" i="1"/>
  <c r="B2172" i="1"/>
  <c r="H2172" i="1"/>
  <c r="I2172" i="1"/>
  <c r="D2168" i="1"/>
  <c r="E2168" i="1"/>
  <c r="F2168" i="1"/>
  <c r="G2168" i="1"/>
  <c r="A2168" i="1"/>
  <c r="B2168" i="1"/>
  <c r="H2168" i="1"/>
  <c r="I2168" i="1"/>
  <c r="D2195" i="1"/>
  <c r="E2195" i="1"/>
  <c r="F2195" i="1"/>
  <c r="G2195" i="1"/>
  <c r="A2195" i="1"/>
  <c r="B2195" i="1"/>
  <c r="H2195" i="1"/>
  <c r="I2195" i="1"/>
  <c r="D2192" i="1"/>
  <c r="E2192" i="1"/>
  <c r="F2192" i="1"/>
  <c r="G2192" i="1"/>
  <c r="A2192" i="1"/>
  <c r="B2192" i="1"/>
  <c r="H2192" i="1"/>
  <c r="I2192" i="1"/>
  <c r="D2190" i="1"/>
  <c r="E2190" i="1"/>
  <c r="F2190" i="1"/>
  <c r="G2190" i="1"/>
  <c r="A2190" i="1"/>
  <c r="B2190" i="1"/>
  <c r="H2190" i="1"/>
  <c r="I2190" i="1"/>
  <c r="D2185" i="1"/>
  <c r="E2185" i="1"/>
  <c r="F2185" i="1"/>
  <c r="G2185" i="1"/>
  <c r="A2185" i="1"/>
  <c r="B2185" i="1"/>
  <c r="H2185" i="1"/>
  <c r="I2185" i="1"/>
  <c r="D3195" i="1"/>
  <c r="E3195" i="1"/>
  <c r="F3195" i="1"/>
  <c r="G3195" i="1"/>
  <c r="A3195" i="1"/>
  <c r="B3195" i="1"/>
  <c r="H3195" i="1"/>
  <c r="I3195" i="1"/>
  <c r="D2341" i="1"/>
  <c r="E2341" i="1"/>
  <c r="F2341" i="1"/>
  <c r="G2341" i="1"/>
  <c r="A2341" i="1"/>
  <c r="B2341" i="1"/>
  <c r="H2341" i="1"/>
  <c r="I2341" i="1"/>
  <c r="D2338" i="1"/>
  <c r="E2338" i="1"/>
  <c r="F2338" i="1"/>
  <c r="G2338" i="1"/>
  <c r="A2338" i="1"/>
  <c r="B2338" i="1"/>
  <c r="H2338" i="1"/>
  <c r="I2338" i="1"/>
  <c r="D2339" i="1"/>
  <c r="E2339" i="1"/>
  <c r="F2339" i="1"/>
  <c r="G2339" i="1"/>
  <c r="A2339" i="1"/>
  <c r="B2339" i="1"/>
  <c r="H2339" i="1"/>
  <c r="I2339" i="1"/>
  <c r="D3193" i="1"/>
  <c r="E3193" i="1"/>
  <c r="F3193" i="1"/>
  <c r="G3193" i="1"/>
  <c r="A3193" i="1"/>
  <c r="B3193" i="1"/>
  <c r="H3193" i="1"/>
  <c r="I3193" i="1"/>
  <c r="D2337" i="1"/>
  <c r="E2337" i="1"/>
  <c r="F2337" i="1"/>
  <c r="G2337" i="1"/>
  <c r="A2337" i="1"/>
  <c r="B2337" i="1"/>
  <c r="H2337" i="1"/>
  <c r="I2337" i="1"/>
  <c r="D1216" i="1"/>
  <c r="E1216" i="1"/>
  <c r="F1216" i="1"/>
  <c r="G1216" i="1"/>
  <c r="A1216" i="1"/>
  <c r="B1216" i="1"/>
  <c r="H1216" i="1"/>
  <c r="I1216" i="1"/>
  <c r="D2342" i="1"/>
  <c r="E2342" i="1"/>
  <c r="F2342" i="1"/>
  <c r="G2342" i="1"/>
  <c r="A2342" i="1"/>
  <c r="B2342" i="1"/>
  <c r="H2342" i="1"/>
  <c r="I2342" i="1"/>
  <c r="D3194" i="1"/>
  <c r="E3194" i="1"/>
  <c r="F3194" i="1"/>
  <c r="G3194" i="1"/>
  <c r="A3194" i="1"/>
  <c r="B3194" i="1"/>
  <c r="H3194" i="1"/>
  <c r="I3194" i="1"/>
  <c r="D3337" i="1"/>
  <c r="E3337" i="1"/>
  <c r="F3337" i="1"/>
  <c r="G3337" i="1"/>
  <c r="A3337" i="1"/>
  <c r="B3337" i="1"/>
  <c r="H3337" i="1"/>
  <c r="I3337" i="1"/>
  <c r="D3524" i="1"/>
  <c r="E3524" i="1"/>
  <c r="F3524" i="1"/>
  <c r="G3524" i="1"/>
  <c r="A3524" i="1"/>
  <c r="B3524" i="1"/>
  <c r="H3524" i="1"/>
  <c r="I3524" i="1"/>
  <c r="D1217" i="1"/>
  <c r="E1217" i="1"/>
  <c r="F1217" i="1"/>
  <c r="G1217" i="1"/>
  <c r="A1217" i="1"/>
  <c r="B1217" i="1"/>
  <c r="H1217" i="1"/>
  <c r="I1217" i="1"/>
  <c r="D2340" i="1"/>
  <c r="E2340" i="1"/>
  <c r="F2340" i="1"/>
  <c r="G2340" i="1"/>
  <c r="A2340" i="1"/>
  <c r="B2340" i="1"/>
  <c r="H2340" i="1"/>
  <c r="I2340" i="1"/>
  <c r="D483" i="1"/>
  <c r="E483" i="1"/>
  <c r="F483" i="1"/>
  <c r="G483" i="1"/>
  <c r="A483" i="1"/>
  <c r="B483" i="1"/>
  <c r="H483" i="1"/>
  <c r="I483" i="1"/>
  <c r="D2966" i="1"/>
  <c r="E2966" i="1"/>
  <c r="F2966" i="1"/>
  <c r="G2966" i="1"/>
  <c r="A2966" i="1"/>
  <c r="B2966" i="1"/>
  <c r="H2966" i="1"/>
  <c r="I2966" i="1"/>
  <c r="D2350" i="1"/>
  <c r="E2350" i="1"/>
  <c r="F2350" i="1"/>
  <c r="G2350" i="1"/>
  <c r="A2350" i="1"/>
  <c r="B2350" i="1"/>
  <c r="H2350" i="1"/>
  <c r="I2350" i="1"/>
  <c r="D129" i="1"/>
  <c r="E129" i="1"/>
  <c r="F129" i="1"/>
  <c r="G129" i="1"/>
  <c r="A129" i="1"/>
  <c r="B129" i="1"/>
  <c r="H129" i="1"/>
  <c r="I129" i="1"/>
  <c r="D518" i="1"/>
  <c r="E518" i="1"/>
  <c r="F518" i="1"/>
  <c r="G518" i="1"/>
  <c r="A518" i="1"/>
  <c r="B518" i="1"/>
  <c r="H518" i="1"/>
  <c r="I518" i="1"/>
  <c r="D3247" i="1"/>
  <c r="E3247" i="1"/>
  <c r="F3247" i="1"/>
  <c r="G3247" i="1"/>
  <c r="A3247" i="1"/>
  <c r="B3247" i="1"/>
  <c r="H3247" i="1"/>
  <c r="I3247" i="1"/>
  <c r="D2361" i="1"/>
  <c r="E2361" i="1"/>
  <c r="F2361" i="1"/>
  <c r="G2361" i="1"/>
  <c r="A2361" i="1"/>
  <c r="B2361" i="1"/>
  <c r="H2361" i="1"/>
  <c r="I2361" i="1"/>
  <c r="D2351" i="1"/>
  <c r="E2351" i="1"/>
  <c r="F2351" i="1"/>
  <c r="G2351" i="1"/>
  <c r="A2351" i="1"/>
  <c r="B2351" i="1"/>
  <c r="H2351" i="1"/>
  <c r="I2351" i="1"/>
  <c r="D2343" i="1"/>
  <c r="E2343" i="1"/>
  <c r="F2343" i="1"/>
  <c r="G2343" i="1"/>
  <c r="A2343" i="1"/>
  <c r="B2343" i="1"/>
  <c r="H2343" i="1"/>
  <c r="I2343" i="1"/>
  <c r="D2360" i="1"/>
  <c r="E2360" i="1"/>
  <c r="F2360" i="1"/>
  <c r="G2360" i="1"/>
  <c r="A2360" i="1"/>
  <c r="B2360" i="1"/>
  <c r="H2360" i="1"/>
  <c r="I2360" i="1"/>
  <c r="D525" i="1"/>
  <c r="E525" i="1"/>
  <c r="F525" i="1"/>
  <c r="G525" i="1"/>
  <c r="A525" i="1"/>
  <c r="B525" i="1"/>
  <c r="H525" i="1"/>
  <c r="I525" i="1"/>
  <c r="D489" i="1"/>
  <c r="E489" i="1"/>
  <c r="F489" i="1"/>
  <c r="G489" i="1"/>
  <c r="A489" i="1"/>
  <c r="B489" i="1"/>
  <c r="H489" i="1"/>
  <c r="I489" i="1"/>
  <c r="D487" i="1"/>
  <c r="E487" i="1"/>
  <c r="F487" i="1"/>
  <c r="G487" i="1"/>
  <c r="A487" i="1"/>
  <c r="B487" i="1"/>
  <c r="H487" i="1"/>
  <c r="I487" i="1"/>
  <c r="D266" i="1"/>
  <c r="E266" i="1"/>
  <c r="F266" i="1"/>
  <c r="G266" i="1"/>
  <c r="A266" i="1"/>
  <c r="B266" i="1"/>
  <c r="H266" i="1"/>
  <c r="I266" i="1"/>
  <c r="D2363" i="1"/>
  <c r="E2363" i="1"/>
  <c r="F2363" i="1"/>
  <c r="G2363" i="1"/>
  <c r="A2363" i="1"/>
  <c r="B2363" i="1"/>
  <c r="H2363" i="1"/>
  <c r="I2363" i="1"/>
  <c r="D495" i="1"/>
  <c r="E495" i="1"/>
  <c r="F495" i="1"/>
  <c r="G495" i="1"/>
  <c r="A495" i="1"/>
  <c r="B495" i="1"/>
  <c r="H495" i="1"/>
  <c r="I495" i="1"/>
  <c r="D510" i="1"/>
  <c r="E510" i="1"/>
  <c r="F510" i="1"/>
  <c r="G510" i="1"/>
  <c r="A510" i="1"/>
  <c r="B510" i="1"/>
  <c r="H510" i="1"/>
  <c r="I510" i="1"/>
  <c r="D2359" i="1"/>
  <c r="E2359" i="1"/>
  <c r="F2359" i="1"/>
  <c r="G2359" i="1"/>
  <c r="A2359" i="1"/>
  <c r="B2359" i="1"/>
  <c r="H2359" i="1"/>
  <c r="I2359" i="1"/>
  <c r="D519" i="1"/>
  <c r="E519" i="1"/>
  <c r="F519" i="1"/>
  <c r="G519" i="1"/>
  <c r="A519" i="1"/>
  <c r="B519" i="1"/>
  <c r="H519" i="1"/>
  <c r="I519" i="1"/>
  <c r="D488" i="1"/>
  <c r="E488" i="1"/>
  <c r="F488" i="1"/>
  <c r="G488" i="1"/>
  <c r="A488" i="1"/>
  <c r="B488" i="1"/>
  <c r="H488" i="1"/>
  <c r="I488" i="1"/>
  <c r="D3518" i="1"/>
  <c r="E3518" i="1"/>
  <c r="F3518" i="1"/>
  <c r="G3518" i="1"/>
  <c r="A3518" i="1"/>
  <c r="B3518" i="1"/>
  <c r="H3518" i="1"/>
  <c r="I3518" i="1"/>
  <c r="D2357" i="1"/>
  <c r="E2357" i="1"/>
  <c r="F2357" i="1"/>
  <c r="G2357" i="1"/>
  <c r="A2357" i="1"/>
  <c r="B2357" i="1"/>
  <c r="H2357" i="1"/>
  <c r="I2357" i="1"/>
  <c r="D272" i="1"/>
  <c r="E272" i="1"/>
  <c r="F272" i="1"/>
  <c r="G272" i="1"/>
  <c r="A272" i="1"/>
  <c r="B272" i="1"/>
  <c r="H272" i="1"/>
  <c r="I272" i="1"/>
  <c r="D482" i="1"/>
  <c r="E482" i="1"/>
  <c r="F482" i="1"/>
  <c r="G482" i="1"/>
  <c r="A482" i="1"/>
  <c r="B482" i="1"/>
  <c r="H482" i="1"/>
  <c r="I482" i="1"/>
  <c r="D273" i="1"/>
  <c r="E273" i="1"/>
  <c r="F273" i="1"/>
  <c r="G273" i="1"/>
  <c r="A273" i="1"/>
  <c r="B273" i="1"/>
  <c r="H273" i="1"/>
  <c r="I273" i="1"/>
  <c r="D500" i="1"/>
  <c r="E500" i="1"/>
  <c r="F500" i="1"/>
  <c r="G500" i="1"/>
  <c r="A500" i="1"/>
  <c r="B500" i="1"/>
  <c r="H500" i="1"/>
  <c r="I500" i="1"/>
  <c r="D494" i="1"/>
  <c r="E494" i="1"/>
  <c r="F494" i="1"/>
  <c r="G494" i="1"/>
  <c r="A494" i="1"/>
  <c r="B494" i="1"/>
  <c r="H494" i="1"/>
  <c r="I494" i="1"/>
  <c r="D777" i="1"/>
  <c r="E777" i="1"/>
  <c r="F777" i="1"/>
  <c r="G777" i="1"/>
  <c r="A777" i="1"/>
  <c r="B777" i="1"/>
  <c r="H777" i="1"/>
  <c r="I777" i="1"/>
  <c r="D2364" i="1"/>
  <c r="E2364" i="1"/>
  <c r="F2364" i="1"/>
  <c r="G2364" i="1"/>
  <c r="A2364" i="1"/>
  <c r="B2364" i="1"/>
  <c r="H2364" i="1"/>
  <c r="I2364" i="1"/>
  <c r="D2354" i="1"/>
  <c r="E2354" i="1"/>
  <c r="F2354" i="1"/>
  <c r="G2354" i="1"/>
  <c r="A2354" i="1"/>
  <c r="B2354" i="1"/>
  <c r="H2354" i="1"/>
  <c r="I2354" i="1"/>
  <c r="D523" i="1"/>
  <c r="E523" i="1"/>
  <c r="F523" i="1"/>
  <c r="G523" i="1"/>
  <c r="A523" i="1"/>
  <c r="B523" i="1"/>
  <c r="H523" i="1"/>
  <c r="I523" i="1"/>
  <c r="D517" i="1"/>
  <c r="E517" i="1"/>
  <c r="F517" i="1"/>
  <c r="G517" i="1"/>
  <c r="A517" i="1"/>
  <c r="B517" i="1"/>
  <c r="H517" i="1"/>
  <c r="I517" i="1"/>
  <c r="D2356" i="1"/>
  <c r="E2356" i="1"/>
  <c r="F2356" i="1"/>
  <c r="G2356" i="1"/>
  <c r="A2356" i="1"/>
  <c r="B2356" i="1"/>
  <c r="H2356" i="1"/>
  <c r="I2356" i="1"/>
  <c r="D2355" i="1"/>
  <c r="E2355" i="1"/>
  <c r="F2355" i="1"/>
  <c r="G2355" i="1"/>
  <c r="A2355" i="1"/>
  <c r="B2355" i="1"/>
  <c r="H2355" i="1"/>
  <c r="I2355" i="1"/>
  <c r="D2345" i="1"/>
  <c r="E2345" i="1"/>
  <c r="F2345" i="1"/>
  <c r="G2345" i="1"/>
  <c r="A2345" i="1"/>
  <c r="B2345" i="1"/>
  <c r="H2345" i="1"/>
  <c r="I2345" i="1"/>
  <c r="D2960" i="1"/>
  <c r="E2960" i="1"/>
  <c r="F2960" i="1"/>
  <c r="G2960" i="1"/>
  <c r="A2960" i="1"/>
  <c r="B2960" i="1"/>
  <c r="H2960" i="1"/>
  <c r="I2960" i="1"/>
  <c r="D2965" i="1"/>
  <c r="E2965" i="1"/>
  <c r="F2965" i="1"/>
  <c r="G2965" i="1"/>
  <c r="A2965" i="1"/>
  <c r="B2965" i="1"/>
  <c r="H2965" i="1"/>
  <c r="I2965" i="1"/>
  <c r="D493" i="1"/>
  <c r="E493" i="1"/>
  <c r="F493" i="1"/>
  <c r="G493" i="1"/>
  <c r="A493" i="1"/>
  <c r="B493" i="1"/>
  <c r="H493" i="1"/>
  <c r="I493" i="1"/>
  <c r="D3522" i="1"/>
  <c r="E3522" i="1"/>
  <c r="F3522" i="1"/>
  <c r="G3522" i="1"/>
  <c r="A3522" i="1"/>
  <c r="B3522" i="1"/>
  <c r="H3522" i="1"/>
  <c r="I3522" i="1"/>
  <c r="D2348" i="1"/>
  <c r="E2348" i="1"/>
  <c r="F2348" i="1"/>
  <c r="G2348" i="1"/>
  <c r="A2348" i="1"/>
  <c r="B2348" i="1"/>
  <c r="H2348" i="1"/>
  <c r="I2348" i="1"/>
  <c r="D270" i="1"/>
  <c r="E270" i="1"/>
  <c r="F270" i="1"/>
  <c r="G270" i="1"/>
  <c r="A270" i="1"/>
  <c r="B270" i="1"/>
  <c r="H270" i="1"/>
  <c r="I270" i="1"/>
  <c r="D497" i="1"/>
  <c r="E497" i="1"/>
  <c r="F497" i="1"/>
  <c r="G497" i="1"/>
  <c r="A497" i="1"/>
  <c r="B497" i="1"/>
  <c r="H497" i="1"/>
  <c r="I497" i="1"/>
  <c r="D265" i="1"/>
  <c r="E265" i="1"/>
  <c r="F265" i="1"/>
  <c r="G265" i="1"/>
  <c r="A265" i="1"/>
  <c r="B265" i="1"/>
  <c r="H265" i="1"/>
  <c r="I265" i="1"/>
  <c r="D776" i="1"/>
  <c r="E776" i="1"/>
  <c r="F776" i="1"/>
  <c r="G776" i="1"/>
  <c r="A776" i="1"/>
  <c r="B776" i="1"/>
  <c r="H776" i="1"/>
  <c r="I776" i="1"/>
  <c r="D2962" i="1"/>
  <c r="E2962" i="1"/>
  <c r="F2962" i="1"/>
  <c r="G2962" i="1"/>
  <c r="A2962" i="1"/>
  <c r="B2962" i="1"/>
  <c r="H2962" i="1"/>
  <c r="I2962" i="1"/>
  <c r="D775" i="1"/>
  <c r="E775" i="1"/>
  <c r="F775" i="1"/>
  <c r="G775" i="1"/>
  <c r="A775" i="1"/>
  <c r="B775" i="1"/>
  <c r="H775" i="1"/>
  <c r="I775" i="1"/>
  <c r="D2967" i="1"/>
  <c r="E2967" i="1"/>
  <c r="F2967" i="1"/>
  <c r="G2967" i="1"/>
  <c r="A2967" i="1"/>
  <c r="B2967" i="1"/>
  <c r="H2967" i="1"/>
  <c r="I2967" i="1"/>
  <c r="D511" i="1"/>
  <c r="E511" i="1"/>
  <c r="F511" i="1"/>
  <c r="G511" i="1"/>
  <c r="A511" i="1"/>
  <c r="B511" i="1"/>
  <c r="H511" i="1"/>
  <c r="I511" i="1"/>
  <c r="D513" i="1"/>
  <c r="E513" i="1"/>
  <c r="F513" i="1"/>
  <c r="G513" i="1"/>
  <c r="A513" i="1"/>
  <c r="B513" i="1"/>
  <c r="H513" i="1"/>
  <c r="I513" i="1"/>
  <c r="D507" i="1"/>
  <c r="E507" i="1"/>
  <c r="F507" i="1"/>
  <c r="G507" i="1"/>
  <c r="A507" i="1"/>
  <c r="B507" i="1"/>
  <c r="H507" i="1"/>
  <c r="I507" i="1"/>
  <c r="D267" i="1"/>
  <c r="E267" i="1"/>
  <c r="F267" i="1"/>
  <c r="G267" i="1"/>
  <c r="A267" i="1"/>
  <c r="B267" i="1"/>
  <c r="H267" i="1"/>
  <c r="I267" i="1"/>
  <c r="D2353" i="1"/>
  <c r="E2353" i="1"/>
  <c r="F2353" i="1"/>
  <c r="G2353" i="1"/>
  <c r="A2353" i="1"/>
  <c r="B2353" i="1"/>
  <c r="H2353" i="1"/>
  <c r="I2353" i="1"/>
  <c r="D3499" i="1"/>
  <c r="E3499" i="1"/>
  <c r="F3499" i="1"/>
  <c r="G3499" i="1"/>
  <c r="A3499" i="1"/>
  <c r="B3499" i="1"/>
  <c r="H3499" i="1"/>
  <c r="I3499" i="1"/>
  <c r="D3509" i="1"/>
  <c r="E3509" i="1"/>
  <c r="F3509" i="1"/>
  <c r="G3509" i="1"/>
  <c r="A3509" i="1"/>
  <c r="B3509" i="1"/>
  <c r="H3509" i="1"/>
  <c r="I3509" i="1"/>
  <c r="D485" i="1"/>
  <c r="E485" i="1"/>
  <c r="F485" i="1"/>
  <c r="G485" i="1"/>
  <c r="A485" i="1"/>
  <c r="B485" i="1"/>
  <c r="H485" i="1"/>
  <c r="I485" i="1"/>
  <c r="D346" i="1"/>
  <c r="E346" i="1"/>
  <c r="F346" i="1"/>
  <c r="G346" i="1"/>
  <c r="A346" i="1"/>
  <c r="B346" i="1"/>
  <c r="H346" i="1"/>
  <c r="I346" i="1"/>
  <c r="D2347" i="1"/>
  <c r="E2347" i="1"/>
  <c r="F2347" i="1"/>
  <c r="G2347" i="1"/>
  <c r="A2347" i="1"/>
  <c r="B2347" i="1"/>
  <c r="H2347" i="1"/>
  <c r="I2347" i="1"/>
  <c r="D496" i="1"/>
  <c r="E496" i="1"/>
  <c r="F496" i="1"/>
  <c r="G496" i="1"/>
  <c r="A496" i="1"/>
  <c r="B496" i="1"/>
  <c r="H496" i="1"/>
  <c r="I496" i="1"/>
  <c r="D2358" i="1"/>
  <c r="E2358" i="1"/>
  <c r="F2358" i="1"/>
  <c r="G2358" i="1"/>
  <c r="A2358" i="1"/>
  <c r="B2358" i="1"/>
  <c r="H2358" i="1"/>
  <c r="I2358" i="1"/>
  <c r="D516" i="1"/>
  <c r="E516" i="1"/>
  <c r="F516" i="1"/>
  <c r="G516" i="1"/>
  <c r="A516" i="1"/>
  <c r="B516" i="1"/>
  <c r="H516" i="1"/>
  <c r="I516" i="1"/>
  <c r="D344" i="1"/>
  <c r="E344" i="1"/>
  <c r="F344" i="1"/>
  <c r="G344" i="1"/>
  <c r="A344" i="1"/>
  <c r="B344" i="1"/>
  <c r="H344" i="1"/>
  <c r="I344" i="1"/>
  <c r="D2556" i="1"/>
  <c r="E2556" i="1"/>
  <c r="F2556" i="1"/>
  <c r="G2556" i="1"/>
  <c r="A2556" i="1"/>
  <c r="B2556" i="1"/>
  <c r="H2556" i="1"/>
  <c r="I2556" i="1"/>
  <c r="D515" i="1"/>
  <c r="E515" i="1"/>
  <c r="F515" i="1"/>
  <c r="G515" i="1"/>
  <c r="A515" i="1"/>
  <c r="B515" i="1"/>
  <c r="H515" i="1"/>
  <c r="I515" i="1"/>
  <c r="D505" i="1"/>
  <c r="E505" i="1"/>
  <c r="F505" i="1"/>
  <c r="G505" i="1"/>
  <c r="A505" i="1"/>
  <c r="B505" i="1"/>
  <c r="H505" i="1"/>
  <c r="I505" i="1"/>
  <c r="D2352" i="1"/>
  <c r="E2352" i="1"/>
  <c r="F2352" i="1"/>
  <c r="G2352" i="1"/>
  <c r="A2352" i="1"/>
  <c r="B2352" i="1"/>
  <c r="H2352" i="1"/>
  <c r="I2352" i="1"/>
  <c r="D2555" i="1"/>
  <c r="E2555" i="1"/>
  <c r="F2555" i="1"/>
  <c r="G2555" i="1"/>
  <c r="A2555" i="1"/>
  <c r="B2555" i="1"/>
  <c r="H2555" i="1"/>
  <c r="I2555" i="1"/>
  <c r="D484" i="1"/>
  <c r="E484" i="1"/>
  <c r="F484" i="1"/>
  <c r="G484" i="1"/>
  <c r="A484" i="1"/>
  <c r="B484" i="1"/>
  <c r="H484" i="1"/>
  <c r="I484" i="1"/>
  <c r="D520" i="1"/>
  <c r="E520" i="1"/>
  <c r="F520" i="1"/>
  <c r="G520" i="1"/>
  <c r="A520" i="1"/>
  <c r="B520" i="1"/>
  <c r="H520" i="1"/>
  <c r="I520" i="1"/>
  <c r="D522" i="1"/>
  <c r="E522" i="1"/>
  <c r="F522" i="1"/>
  <c r="G522" i="1"/>
  <c r="A522" i="1"/>
  <c r="B522" i="1"/>
  <c r="H522" i="1"/>
  <c r="I522" i="1"/>
  <c r="D263" i="1"/>
  <c r="E263" i="1"/>
  <c r="F263" i="1"/>
  <c r="G263" i="1"/>
  <c r="A263" i="1"/>
  <c r="B263" i="1"/>
  <c r="H263" i="1"/>
  <c r="I263" i="1"/>
  <c r="D501" i="1"/>
  <c r="E501" i="1"/>
  <c r="F501" i="1"/>
  <c r="G501" i="1"/>
  <c r="A501" i="1"/>
  <c r="B501" i="1"/>
  <c r="H501" i="1"/>
  <c r="I501" i="1"/>
  <c r="D264" i="1"/>
  <c r="E264" i="1"/>
  <c r="F264" i="1"/>
  <c r="G264" i="1"/>
  <c r="A264" i="1"/>
  <c r="B264" i="1"/>
  <c r="H264" i="1"/>
  <c r="I264" i="1"/>
  <c r="D348" i="1"/>
  <c r="E348" i="1"/>
  <c r="F348" i="1"/>
  <c r="G348" i="1"/>
  <c r="A348" i="1"/>
  <c r="B348" i="1"/>
  <c r="H348" i="1"/>
  <c r="I348" i="1"/>
  <c r="D512" i="1"/>
  <c r="E512" i="1"/>
  <c r="F512" i="1"/>
  <c r="G512" i="1"/>
  <c r="A512" i="1"/>
  <c r="B512" i="1"/>
  <c r="H512" i="1"/>
  <c r="I512" i="1"/>
  <c r="D147" i="1"/>
  <c r="E147" i="1"/>
  <c r="F147" i="1"/>
  <c r="G147" i="1"/>
  <c r="A147" i="1"/>
  <c r="B147" i="1"/>
  <c r="H147" i="1"/>
  <c r="I147" i="1"/>
  <c r="D514" i="1"/>
  <c r="E514" i="1"/>
  <c r="F514" i="1"/>
  <c r="G514" i="1"/>
  <c r="A514" i="1"/>
  <c r="B514" i="1"/>
  <c r="H514" i="1"/>
  <c r="I514" i="1"/>
  <c r="D521" i="1"/>
  <c r="E521" i="1"/>
  <c r="F521" i="1"/>
  <c r="G521" i="1"/>
  <c r="A521" i="1"/>
  <c r="B521" i="1"/>
  <c r="H521" i="1"/>
  <c r="I521" i="1"/>
  <c r="D2346" i="1"/>
  <c r="E2346" i="1"/>
  <c r="F2346" i="1"/>
  <c r="G2346" i="1"/>
  <c r="A2346" i="1"/>
  <c r="B2346" i="1"/>
  <c r="H2346" i="1"/>
  <c r="I2346" i="1"/>
  <c r="D2554" i="1"/>
  <c r="E2554" i="1"/>
  <c r="F2554" i="1"/>
  <c r="G2554" i="1"/>
  <c r="A2554" i="1"/>
  <c r="B2554" i="1"/>
  <c r="H2554" i="1"/>
  <c r="I2554" i="1"/>
  <c r="D345" i="1"/>
  <c r="E345" i="1"/>
  <c r="F345" i="1"/>
  <c r="G345" i="1"/>
  <c r="A345" i="1"/>
  <c r="B345" i="1"/>
  <c r="H345" i="1"/>
  <c r="I345" i="1"/>
  <c r="D481" i="1"/>
  <c r="E481" i="1"/>
  <c r="F481" i="1"/>
  <c r="G481" i="1"/>
  <c r="A481" i="1"/>
  <c r="B481" i="1"/>
  <c r="H481" i="1"/>
  <c r="I481" i="1"/>
  <c r="D357" i="1"/>
  <c r="E357" i="1"/>
  <c r="F357" i="1"/>
  <c r="G357" i="1"/>
  <c r="A357" i="1"/>
  <c r="B357" i="1"/>
  <c r="H357" i="1"/>
  <c r="I357" i="1"/>
  <c r="D268" i="1"/>
  <c r="E268" i="1"/>
  <c r="F268" i="1"/>
  <c r="G268" i="1"/>
  <c r="A268" i="1"/>
  <c r="B268" i="1"/>
  <c r="H268" i="1"/>
  <c r="I268" i="1"/>
  <c r="D274" i="1"/>
  <c r="E274" i="1"/>
  <c r="F274" i="1"/>
  <c r="G274" i="1"/>
  <c r="A274" i="1"/>
  <c r="B274" i="1"/>
  <c r="H274" i="1"/>
  <c r="I274" i="1"/>
  <c r="D504" i="1"/>
  <c r="E504" i="1"/>
  <c r="F504" i="1"/>
  <c r="G504" i="1"/>
  <c r="A504" i="1"/>
  <c r="B504" i="1"/>
  <c r="H504" i="1"/>
  <c r="I504" i="1"/>
  <c r="D506" i="1"/>
  <c r="E506" i="1"/>
  <c r="F506" i="1"/>
  <c r="G506" i="1"/>
  <c r="A506" i="1"/>
  <c r="B506" i="1"/>
  <c r="H506" i="1"/>
  <c r="I506" i="1"/>
  <c r="D490" i="1"/>
  <c r="E490" i="1"/>
  <c r="F490" i="1"/>
  <c r="G490" i="1"/>
  <c r="A490" i="1"/>
  <c r="B490" i="1"/>
  <c r="H490" i="1"/>
  <c r="I490" i="1"/>
  <c r="D492" i="1"/>
  <c r="E492" i="1"/>
  <c r="F492" i="1"/>
  <c r="G492" i="1"/>
  <c r="A492" i="1"/>
  <c r="B492" i="1"/>
  <c r="H492" i="1"/>
  <c r="I492" i="1"/>
  <c r="D2349" i="1"/>
  <c r="E2349" i="1"/>
  <c r="F2349" i="1"/>
  <c r="G2349" i="1"/>
  <c r="A2349" i="1"/>
  <c r="B2349" i="1"/>
  <c r="H2349" i="1"/>
  <c r="I2349" i="1"/>
  <c r="D146" i="1"/>
  <c r="E146" i="1"/>
  <c r="F146" i="1"/>
  <c r="G146" i="1"/>
  <c r="A146" i="1"/>
  <c r="B146" i="1"/>
  <c r="H146" i="1"/>
  <c r="I146" i="1"/>
  <c r="D49" i="1"/>
  <c r="E49" i="1"/>
  <c r="F49" i="1"/>
  <c r="G49" i="1"/>
  <c r="A49" i="1"/>
  <c r="B49" i="1"/>
  <c r="H49" i="1"/>
  <c r="I49" i="1"/>
  <c r="D491" i="1"/>
  <c r="E491" i="1"/>
  <c r="F491" i="1"/>
  <c r="G491" i="1"/>
  <c r="A491" i="1"/>
  <c r="B491" i="1"/>
  <c r="H491" i="1"/>
  <c r="I491" i="1"/>
  <c r="D503" i="1"/>
  <c r="E503" i="1"/>
  <c r="F503" i="1"/>
  <c r="G503" i="1"/>
  <c r="A503" i="1"/>
  <c r="B503" i="1"/>
  <c r="H503" i="1"/>
  <c r="I503" i="1"/>
  <c r="D524" i="1"/>
  <c r="E524" i="1"/>
  <c r="F524" i="1"/>
  <c r="G524" i="1"/>
  <c r="A524" i="1"/>
  <c r="B524" i="1"/>
  <c r="H524" i="1"/>
  <c r="I524" i="1"/>
  <c r="D2553" i="1"/>
  <c r="E2553" i="1"/>
  <c r="F2553" i="1"/>
  <c r="G2553" i="1"/>
  <c r="A2553" i="1"/>
  <c r="B2553" i="1"/>
  <c r="H2553" i="1"/>
  <c r="I2553" i="1"/>
  <c r="D349" i="1"/>
  <c r="E349" i="1"/>
  <c r="F349" i="1"/>
  <c r="G349" i="1"/>
  <c r="A349" i="1"/>
  <c r="B349" i="1"/>
  <c r="H349" i="1"/>
  <c r="I349" i="1"/>
  <c r="D269" i="1"/>
  <c r="E269" i="1"/>
  <c r="F269" i="1"/>
  <c r="G269" i="1"/>
  <c r="A269" i="1"/>
  <c r="B269" i="1"/>
  <c r="H269" i="1"/>
  <c r="I269" i="1"/>
  <c r="D509" i="1"/>
  <c r="E509" i="1"/>
  <c r="F509" i="1"/>
  <c r="G509" i="1"/>
  <c r="A509" i="1"/>
  <c r="B509" i="1"/>
  <c r="H509" i="1"/>
  <c r="I509" i="1"/>
  <c r="D2344" i="1"/>
  <c r="E2344" i="1"/>
  <c r="F2344" i="1"/>
  <c r="G2344" i="1"/>
  <c r="A2344" i="1"/>
  <c r="B2344" i="1"/>
  <c r="H2344" i="1"/>
  <c r="I2344" i="1"/>
  <c r="D502" i="1"/>
  <c r="E502" i="1"/>
  <c r="F502" i="1"/>
  <c r="G502" i="1"/>
  <c r="A502" i="1"/>
  <c r="B502" i="1"/>
  <c r="H502" i="1"/>
  <c r="I502" i="1"/>
  <c r="D486" i="1"/>
  <c r="E486" i="1"/>
  <c r="F486" i="1"/>
  <c r="G486" i="1"/>
  <c r="A486" i="1"/>
  <c r="B486" i="1"/>
  <c r="H486" i="1"/>
  <c r="I486" i="1"/>
  <c r="D498" i="1"/>
  <c r="E498" i="1"/>
  <c r="F498" i="1"/>
  <c r="G498" i="1"/>
  <c r="A498" i="1"/>
  <c r="B498" i="1"/>
  <c r="H498" i="1"/>
  <c r="I498" i="1"/>
  <c r="D499" i="1"/>
  <c r="E499" i="1"/>
  <c r="F499" i="1"/>
  <c r="G499" i="1"/>
  <c r="A499" i="1"/>
  <c r="B499" i="1"/>
  <c r="H499" i="1"/>
  <c r="I499" i="1"/>
  <c r="D508" i="1"/>
  <c r="E508" i="1"/>
  <c r="F508" i="1"/>
  <c r="G508" i="1"/>
  <c r="A508" i="1"/>
  <c r="B508" i="1"/>
  <c r="H508" i="1"/>
  <c r="I508" i="1"/>
  <c r="D347" i="1"/>
  <c r="E347" i="1"/>
  <c r="F347" i="1"/>
  <c r="G347" i="1"/>
  <c r="A347" i="1"/>
  <c r="B347" i="1"/>
  <c r="H347" i="1"/>
  <c r="I347" i="1"/>
  <c r="D271" i="1"/>
  <c r="E271" i="1"/>
  <c r="F271" i="1"/>
  <c r="G271" i="1"/>
  <c r="A271" i="1"/>
  <c r="B271" i="1"/>
  <c r="H271" i="1"/>
  <c r="I271" i="1"/>
  <c r="D2362" i="1"/>
  <c r="E2362" i="1"/>
  <c r="F2362" i="1"/>
  <c r="G2362" i="1"/>
  <c r="A2362" i="1"/>
  <c r="B2362" i="1"/>
  <c r="H2362" i="1"/>
  <c r="I2362" i="1"/>
  <c r="D250" i="1"/>
  <c r="E250" i="1"/>
  <c r="F250" i="1"/>
  <c r="G250" i="1"/>
  <c r="A250" i="1"/>
  <c r="B250" i="1"/>
  <c r="H250" i="1"/>
  <c r="I250" i="1"/>
  <c r="D2882" i="1"/>
  <c r="E2882" i="1"/>
  <c r="F2882" i="1"/>
  <c r="G2882" i="1"/>
  <c r="A2882" i="1"/>
  <c r="B2882" i="1"/>
  <c r="H2882" i="1"/>
  <c r="I2882" i="1"/>
  <c r="D2389" i="1"/>
  <c r="E2389" i="1"/>
  <c r="F2389" i="1"/>
  <c r="G2389" i="1"/>
  <c r="A2389" i="1"/>
  <c r="B2389" i="1"/>
  <c r="H2389" i="1"/>
  <c r="I2389" i="1"/>
  <c r="D2401" i="1"/>
  <c r="E2401" i="1"/>
  <c r="F2401" i="1"/>
  <c r="G2401" i="1"/>
  <c r="A2401" i="1"/>
  <c r="B2401" i="1"/>
  <c r="H2401" i="1"/>
  <c r="I2401" i="1"/>
  <c r="D249" i="1"/>
  <c r="E249" i="1"/>
  <c r="F249" i="1"/>
  <c r="G249" i="1"/>
  <c r="A249" i="1"/>
  <c r="B249" i="1"/>
  <c r="H249" i="1"/>
  <c r="I249" i="1"/>
  <c r="D2618" i="1"/>
  <c r="E2618" i="1"/>
  <c r="F2618" i="1"/>
  <c r="G2618" i="1"/>
  <c r="A2618" i="1"/>
  <c r="B2618" i="1"/>
  <c r="H2618" i="1"/>
  <c r="I2618" i="1"/>
  <c r="D3178" i="1"/>
  <c r="E3178" i="1"/>
  <c r="F3178" i="1"/>
  <c r="G3178" i="1"/>
  <c r="A3178" i="1"/>
  <c r="B3178" i="1"/>
  <c r="H3178" i="1"/>
  <c r="I3178" i="1"/>
  <c r="D3179" i="1"/>
  <c r="E3179" i="1"/>
  <c r="F3179" i="1"/>
  <c r="G3179" i="1"/>
  <c r="A3179" i="1"/>
  <c r="B3179" i="1"/>
  <c r="H3179" i="1"/>
  <c r="I3179" i="1"/>
  <c r="D1494" i="1"/>
  <c r="E1494" i="1"/>
  <c r="F1494" i="1"/>
  <c r="G1494" i="1"/>
  <c r="A1494" i="1"/>
  <c r="B1494" i="1"/>
  <c r="H1494" i="1"/>
  <c r="I1494" i="1"/>
  <c r="D2731" i="1"/>
  <c r="E2731" i="1"/>
  <c r="F2731" i="1"/>
  <c r="G2731" i="1"/>
  <c r="A2731" i="1"/>
  <c r="B2731" i="1"/>
  <c r="H2731" i="1"/>
  <c r="I2731" i="1"/>
  <c r="D246" i="1"/>
  <c r="E246" i="1"/>
  <c r="F246" i="1"/>
  <c r="G246" i="1"/>
  <c r="A246" i="1"/>
  <c r="B246" i="1"/>
  <c r="H246" i="1"/>
  <c r="I246" i="1"/>
  <c r="D2398" i="1"/>
  <c r="E2398" i="1"/>
  <c r="F2398" i="1"/>
  <c r="G2398" i="1"/>
  <c r="A2398" i="1"/>
  <c r="B2398" i="1"/>
  <c r="H2398" i="1"/>
  <c r="I2398" i="1"/>
  <c r="D2637" i="1"/>
  <c r="E2637" i="1"/>
  <c r="F2637" i="1"/>
  <c r="G2637" i="1"/>
  <c r="A2637" i="1"/>
  <c r="B2637" i="1"/>
  <c r="H2637" i="1"/>
  <c r="I2637" i="1"/>
  <c r="D2695" i="1"/>
  <c r="E2695" i="1"/>
  <c r="F2695" i="1"/>
  <c r="G2695" i="1"/>
  <c r="A2695" i="1"/>
  <c r="B2695" i="1"/>
  <c r="H2695" i="1"/>
  <c r="I2695" i="1"/>
  <c r="D2636" i="1"/>
  <c r="E2636" i="1"/>
  <c r="F2636" i="1"/>
  <c r="G2636" i="1"/>
  <c r="A2636" i="1"/>
  <c r="B2636" i="1"/>
  <c r="H2636" i="1"/>
  <c r="I2636" i="1"/>
  <c r="D2399" i="1"/>
  <c r="E2399" i="1"/>
  <c r="F2399" i="1"/>
  <c r="G2399" i="1"/>
  <c r="A2399" i="1"/>
  <c r="B2399" i="1"/>
  <c r="H2399" i="1"/>
  <c r="I2399" i="1"/>
  <c r="D3176" i="1"/>
  <c r="E3176" i="1"/>
  <c r="F3176" i="1"/>
  <c r="G3176" i="1"/>
  <c r="A3176" i="1"/>
  <c r="B3176" i="1"/>
  <c r="H3176" i="1"/>
  <c r="I3176" i="1"/>
  <c r="D3174" i="1"/>
  <c r="E3174" i="1"/>
  <c r="F3174" i="1"/>
  <c r="G3174" i="1"/>
  <c r="A3174" i="1"/>
  <c r="B3174" i="1"/>
  <c r="H3174" i="1"/>
  <c r="I3174" i="1"/>
  <c r="D3177" i="1"/>
  <c r="E3177" i="1"/>
  <c r="F3177" i="1"/>
  <c r="G3177" i="1"/>
  <c r="A3177" i="1"/>
  <c r="B3177" i="1"/>
  <c r="H3177" i="1"/>
  <c r="I3177" i="1"/>
  <c r="D1493" i="1"/>
  <c r="E1493" i="1"/>
  <c r="F1493" i="1"/>
  <c r="G1493" i="1"/>
  <c r="A1493" i="1"/>
  <c r="B1493" i="1"/>
  <c r="H1493" i="1"/>
  <c r="I1493" i="1"/>
  <c r="D3311" i="1"/>
  <c r="E3311" i="1"/>
  <c r="F3311" i="1"/>
  <c r="G3311" i="1"/>
  <c r="A3311" i="1"/>
  <c r="B3311" i="1"/>
  <c r="H3311" i="1"/>
  <c r="I3311" i="1"/>
  <c r="D1200" i="1"/>
  <c r="E1200" i="1"/>
  <c r="F1200" i="1"/>
  <c r="G1200" i="1"/>
  <c r="A1200" i="1"/>
  <c r="B1200" i="1"/>
  <c r="H1200" i="1"/>
  <c r="I1200" i="1"/>
  <c r="D3343" i="1"/>
  <c r="E3343" i="1"/>
  <c r="F3343" i="1"/>
  <c r="G3343" i="1"/>
  <c r="A3343" i="1"/>
  <c r="B3343" i="1"/>
  <c r="H3343" i="1"/>
  <c r="I3343" i="1"/>
  <c r="D3254" i="1"/>
  <c r="E3254" i="1"/>
  <c r="F3254" i="1"/>
  <c r="G3254" i="1"/>
  <c r="A3254" i="1"/>
  <c r="B3254" i="1"/>
  <c r="H3254" i="1"/>
  <c r="I3254" i="1"/>
  <c r="D3525" i="1"/>
  <c r="E3525" i="1"/>
  <c r="F3525" i="1"/>
  <c r="G3525" i="1"/>
  <c r="A3525" i="1"/>
  <c r="B3525" i="1"/>
  <c r="H3525" i="1"/>
  <c r="I3525" i="1"/>
  <c r="D1206" i="1"/>
  <c r="E1206" i="1"/>
  <c r="F1206" i="1"/>
  <c r="G1206" i="1"/>
  <c r="A1206" i="1"/>
  <c r="B1206" i="1"/>
  <c r="H1206" i="1"/>
  <c r="I1206" i="1"/>
  <c r="D1202" i="1"/>
  <c r="E1202" i="1"/>
  <c r="F1202" i="1"/>
  <c r="G1202" i="1"/>
  <c r="A1202" i="1"/>
  <c r="B1202" i="1"/>
  <c r="H1202" i="1"/>
  <c r="I1202" i="1"/>
  <c r="D2400" i="1"/>
  <c r="E2400" i="1"/>
  <c r="F2400" i="1"/>
  <c r="G2400" i="1"/>
  <c r="A2400" i="1"/>
  <c r="B2400" i="1"/>
  <c r="H2400" i="1"/>
  <c r="I2400" i="1"/>
  <c r="D1633" i="1"/>
  <c r="E1633" i="1"/>
  <c r="F1633" i="1"/>
  <c r="G1633" i="1"/>
  <c r="A1633" i="1"/>
  <c r="B1633" i="1"/>
  <c r="H1633" i="1"/>
  <c r="I1633" i="1"/>
  <c r="D3172" i="1"/>
  <c r="E3172" i="1"/>
  <c r="F3172" i="1"/>
  <c r="G3172" i="1"/>
  <c r="A3172" i="1"/>
  <c r="B3172" i="1"/>
  <c r="H3172" i="1"/>
  <c r="I3172" i="1"/>
  <c r="D1203" i="1"/>
  <c r="E1203" i="1"/>
  <c r="F1203" i="1"/>
  <c r="G1203" i="1"/>
  <c r="A1203" i="1"/>
  <c r="B1203" i="1"/>
  <c r="H1203" i="1"/>
  <c r="I1203" i="1"/>
  <c r="D3521" i="1"/>
  <c r="E3521" i="1"/>
  <c r="F3521" i="1"/>
  <c r="G3521" i="1"/>
  <c r="A3521" i="1"/>
  <c r="B3521" i="1"/>
  <c r="H3521" i="1"/>
  <c r="I3521" i="1"/>
  <c r="D2392" i="1"/>
  <c r="E2392" i="1"/>
  <c r="F2392" i="1"/>
  <c r="G2392" i="1"/>
  <c r="A2392" i="1"/>
  <c r="B2392" i="1"/>
  <c r="H2392" i="1"/>
  <c r="I2392" i="1"/>
  <c r="D2905" i="1"/>
  <c r="E2905" i="1"/>
  <c r="F2905" i="1"/>
  <c r="G2905" i="1"/>
  <c r="A2905" i="1"/>
  <c r="B2905" i="1"/>
  <c r="H2905" i="1"/>
  <c r="I2905" i="1"/>
  <c r="D2906" i="1"/>
  <c r="E2906" i="1"/>
  <c r="F2906" i="1"/>
  <c r="G2906" i="1"/>
  <c r="A2906" i="1"/>
  <c r="B2906" i="1"/>
  <c r="H2906" i="1"/>
  <c r="I2906" i="1"/>
  <c r="D2395" i="1"/>
  <c r="E2395" i="1"/>
  <c r="F2395" i="1"/>
  <c r="G2395" i="1"/>
  <c r="A2395" i="1"/>
  <c r="B2395" i="1"/>
  <c r="H2395" i="1"/>
  <c r="I2395" i="1"/>
  <c r="D2390" i="1"/>
  <c r="E2390" i="1"/>
  <c r="F2390" i="1"/>
  <c r="G2390" i="1"/>
  <c r="A2390" i="1"/>
  <c r="B2390" i="1"/>
  <c r="H2390" i="1"/>
  <c r="I2390" i="1"/>
  <c r="D3513" i="1"/>
  <c r="E3513" i="1"/>
  <c r="F3513" i="1"/>
  <c r="G3513" i="1"/>
  <c r="A3513" i="1"/>
  <c r="B3513" i="1"/>
  <c r="H3513" i="1"/>
  <c r="I3513" i="1"/>
  <c r="D2638" i="1"/>
  <c r="E2638" i="1"/>
  <c r="F2638" i="1"/>
  <c r="G2638" i="1"/>
  <c r="A2638" i="1"/>
  <c r="B2638" i="1"/>
  <c r="H2638" i="1"/>
  <c r="I2638" i="1"/>
  <c r="D2730" i="1"/>
  <c r="E2730" i="1"/>
  <c r="F2730" i="1"/>
  <c r="G2730" i="1"/>
  <c r="A2730" i="1"/>
  <c r="B2730" i="1"/>
  <c r="H2730" i="1"/>
  <c r="I2730" i="1"/>
  <c r="D247" i="1"/>
  <c r="E247" i="1"/>
  <c r="F247" i="1"/>
  <c r="G247" i="1"/>
  <c r="A247" i="1"/>
  <c r="B247" i="1"/>
  <c r="H247" i="1"/>
  <c r="I247" i="1"/>
  <c r="D2406" i="1"/>
  <c r="E2406" i="1"/>
  <c r="F2406" i="1"/>
  <c r="G2406" i="1"/>
  <c r="A2406" i="1"/>
  <c r="B2406" i="1"/>
  <c r="H2406" i="1"/>
  <c r="I2406" i="1"/>
  <c r="D2393" i="1"/>
  <c r="E2393" i="1"/>
  <c r="F2393" i="1"/>
  <c r="G2393" i="1"/>
  <c r="A2393" i="1"/>
  <c r="B2393" i="1"/>
  <c r="H2393" i="1"/>
  <c r="I2393" i="1"/>
  <c r="D2404" i="1"/>
  <c r="E2404" i="1"/>
  <c r="F2404" i="1"/>
  <c r="G2404" i="1"/>
  <c r="A2404" i="1"/>
  <c r="B2404" i="1"/>
  <c r="H2404" i="1"/>
  <c r="I2404" i="1"/>
  <c r="D2694" i="1"/>
  <c r="E2694" i="1"/>
  <c r="F2694" i="1"/>
  <c r="G2694" i="1"/>
  <c r="A2694" i="1"/>
  <c r="B2694" i="1"/>
  <c r="H2694" i="1"/>
  <c r="I2694" i="1"/>
  <c r="D2843" i="1"/>
  <c r="E2843" i="1"/>
  <c r="F2843" i="1"/>
  <c r="G2843" i="1"/>
  <c r="A2843" i="1"/>
  <c r="B2843" i="1"/>
  <c r="H2843" i="1"/>
  <c r="I2843" i="1"/>
  <c r="D2396" i="1"/>
  <c r="E2396" i="1"/>
  <c r="F2396" i="1"/>
  <c r="G2396" i="1"/>
  <c r="A2396" i="1"/>
  <c r="B2396" i="1"/>
  <c r="H2396" i="1"/>
  <c r="I2396" i="1"/>
  <c r="D3282" i="1"/>
  <c r="E3282" i="1"/>
  <c r="F3282" i="1"/>
  <c r="G3282" i="1"/>
  <c r="A3282" i="1"/>
  <c r="B3282" i="1"/>
  <c r="H3282" i="1"/>
  <c r="I3282" i="1"/>
  <c r="D2407" i="1"/>
  <c r="E2407" i="1"/>
  <c r="F2407" i="1"/>
  <c r="G2407" i="1"/>
  <c r="A2407" i="1"/>
  <c r="B2407" i="1"/>
  <c r="H2407" i="1"/>
  <c r="I2407" i="1"/>
  <c r="D2697" i="1"/>
  <c r="E2697" i="1"/>
  <c r="F2697" i="1"/>
  <c r="G2697" i="1"/>
  <c r="A2697" i="1"/>
  <c r="B2697" i="1"/>
  <c r="H2697" i="1"/>
  <c r="I2697" i="1"/>
  <c r="D3274" i="1"/>
  <c r="E3274" i="1"/>
  <c r="F3274" i="1"/>
  <c r="G3274" i="1"/>
  <c r="A3274" i="1"/>
  <c r="B3274" i="1"/>
  <c r="H3274" i="1"/>
  <c r="I3274" i="1"/>
  <c r="D3175" i="1"/>
  <c r="E3175" i="1"/>
  <c r="F3175" i="1"/>
  <c r="G3175" i="1"/>
  <c r="A3175" i="1"/>
  <c r="B3175" i="1"/>
  <c r="H3175" i="1"/>
  <c r="I3175" i="1"/>
  <c r="D2728" i="1"/>
  <c r="E2728" i="1"/>
  <c r="F2728" i="1"/>
  <c r="G2728" i="1"/>
  <c r="A2728" i="1"/>
  <c r="B2728" i="1"/>
  <c r="H2728" i="1"/>
  <c r="I2728" i="1"/>
  <c r="D2619" i="1"/>
  <c r="E2619" i="1"/>
  <c r="F2619" i="1"/>
  <c r="G2619" i="1"/>
  <c r="A2619" i="1"/>
  <c r="B2619" i="1"/>
  <c r="H2619" i="1"/>
  <c r="I2619" i="1"/>
  <c r="D2402" i="1"/>
  <c r="E2402" i="1"/>
  <c r="F2402" i="1"/>
  <c r="G2402" i="1"/>
  <c r="A2402" i="1"/>
  <c r="B2402" i="1"/>
  <c r="H2402" i="1"/>
  <c r="I2402" i="1"/>
  <c r="D1205" i="1"/>
  <c r="E1205" i="1"/>
  <c r="F1205" i="1"/>
  <c r="G1205" i="1"/>
  <c r="A1205" i="1"/>
  <c r="B1205" i="1"/>
  <c r="H1205" i="1"/>
  <c r="I1205" i="1"/>
  <c r="D3273" i="1"/>
  <c r="E3273" i="1"/>
  <c r="F3273" i="1"/>
  <c r="G3273" i="1"/>
  <c r="A3273" i="1"/>
  <c r="B3273" i="1"/>
  <c r="H3273" i="1"/>
  <c r="I3273" i="1"/>
  <c r="D1201" i="1"/>
  <c r="E1201" i="1"/>
  <c r="F1201" i="1"/>
  <c r="G1201" i="1"/>
  <c r="A1201" i="1"/>
  <c r="B1201" i="1"/>
  <c r="H1201" i="1"/>
  <c r="I1201" i="1"/>
  <c r="D2854" i="1"/>
  <c r="E2854" i="1"/>
  <c r="F2854" i="1"/>
  <c r="G2854" i="1"/>
  <c r="A2854" i="1"/>
  <c r="B2854" i="1"/>
  <c r="H2854" i="1"/>
  <c r="I2854" i="1"/>
  <c r="D2853" i="1"/>
  <c r="E2853" i="1"/>
  <c r="F2853" i="1"/>
  <c r="G2853" i="1"/>
  <c r="A2853" i="1"/>
  <c r="B2853" i="1"/>
  <c r="H2853" i="1"/>
  <c r="I2853" i="1"/>
  <c r="D2895" i="1"/>
  <c r="E2895" i="1"/>
  <c r="F2895" i="1"/>
  <c r="G2895" i="1"/>
  <c r="A2895" i="1"/>
  <c r="B2895" i="1"/>
  <c r="H2895" i="1"/>
  <c r="I2895" i="1"/>
  <c r="D2903" i="1"/>
  <c r="E2903" i="1"/>
  <c r="F2903" i="1"/>
  <c r="G2903" i="1"/>
  <c r="A2903" i="1"/>
  <c r="B2903" i="1"/>
  <c r="H2903" i="1"/>
  <c r="I2903" i="1"/>
  <c r="D2904" i="1"/>
  <c r="E2904" i="1"/>
  <c r="F2904" i="1"/>
  <c r="G2904" i="1"/>
  <c r="A2904" i="1"/>
  <c r="B2904" i="1"/>
  <c r="H2904" i="1"/>
  <c r="I2904" i="1"/>
  <c r="D2729" i="1"/>
  <c r="E2729" i="1"/>
  <c r="F2729" i="1"/>
  <c r="G2729" i="1"/>
  <c r="A2729" i="1"/>
  <c r="B2729" i="1"/>
  <c r="H2729" i="1"/>
  <c r="I2729" i="1"/>
  <c r="D2842" i="1"/>
  <c r="E2842" i="1"/>
  <c r="F2842" i="1"/>
  <c r="G2842" i="1"/>
  <c r="A2842" i="1"/>
  <c r="B2842" i="1"/>
  <c r="H2842" i="1"/>
  <c r="I2842" i="1"/>
  <c r="D2391" i="1"/>
  <c r="E2391" i="1"/>
  <c r="F2391" i="1"/>
  <c r="G2391" i="1"/>
  <c r="A2391" i="1"/>
  <c r="B2391" i="1"/>
  <c r="H2391" i="1"/>
  <c r="I2391" i="1"/>
  <c r="D2408" i="1"/>
  <c r="E2408" i="1"/>
  <c r="F2408" i="1"/>
  <c r="G2408" i="1"/>
  <c r="A2408" i="1"/>
  <c r="B2408" i="1"/>
  <c r="H2408" i="1"/>
  <c r="I2408" i="1"/>
  <c r="D248" i="1"/>
  <c r="E248" i="1"/>
  <c r="F248" i="1"/>
  <c r="G248" i="1"/>
  <c r="A248" i="1"/>
  <c r="B248" i="1"/>
  <c r="H248" i="1"/>
  <c r="I248" i="1"/>
  <c r="D2394" i="1"/>
  <c r="E2394" i="1"/>
  <c r="F2394" i="1"/>
  <c r="G2394" i="1"/>
  <c r="A2394" i="1"/>
  <c r="B2394" i="1"/>
  <c r="H2394" i="1"/>
  <c r="I2394" i="1"/>
  <c r="D3173" i="1"/>
  <c r="E3173" i="1"/>
  <c r="F3173" i="1"/>
  <c r="G3173" i="1"/>
  <c r="A3173" i="1"/>
  <c r="B3173" i="1"/>
  <c r="H3173" i="1"/>
  <c r="I3173" i="1"/>
  <c r="D3069" i="1"/>
  <c r="E3069" i="1"/>
  <c r="F3069" i="1"/>
  <c r="G3069" i="1"/>
  <c r="A3069" i="1"/>
  <c r="B3069" i="1"/>
  <c r="H3069" i="1"/>
  <c r="I3069" i="1"/>
  <c r="D2881" i="1"/>
  <c r="E2881" i="1"/>
  <c r="F2881" i="1"/>
  <c r="G2881" i="1"/>
  <c r="A2881" i="1"/>
  <c r="B2881" i="1"/>
  <c r="H2881" i="1"/>
  <c r="I2881" i="1"/>
  <c r="D2405" i="1"/>
  <c r="E2405" i="1"/>
  <c r="F2405" i="1"/>
  <c r="G2405" i="1"/>
  <c r="A2405" i="1"/>
  <c r="B2405" i="1"/>
  <c r="H2405" i="1"/>
  <c r="I2405" i="1"/>
  <c r="D1207" i="1"/>
  <c r="E1207" i="1"/>
  <c r="F1207" i="1"/>
  <c r="G1207" i="1"/>
  <c r="A1207" i="1"/>
  <c r="B1207" i="1"/>
  <c r="H1207" i="1"/>
  <c r="I1207" i="1"/>
  <c r="D2700" i="1"/>
  <c r="E2700" i="1"/>
  <c r="F2700" i="1"/>
  <c r="G2700" i="1"/>
  <c r="A2700" i="1"/>
  <c r="B2700" i="1"/>
  <c r="H2700" i="1"/>
  <c r="I2700" i="1"/>
  <c r="D3192" i="1"/>
  <c r="E3192" i="1"/>
  <c r="F3192" i="1"/>
  <c r="G3192" i="1"/>
  <c r="A3192" i="1"/>
  <c r="B3192" i="1"/>
  <c r="H3192" i="1"/>
  <c r="I3192" i="1"/>
  <c r="D1204" i="1"/>
  <c r="E1204" i="1"/>
  <c r="F1204" i="1"/>
  <c r="G1204" i="1"/>
  <c r="A1204" i="1"/>
  <c r="B1204" i="1"/>
  <c r="H1204" i="1"/>
  <c r="I1204" i="1"/>
  <c r="D2403" i="1"/>
  <c r="E2403" i="1"/>
  <c r="F2403" i="1"/>
  <c r="G2403" i="1"/>
  <c r="A2403" i="1"/>
  <c r="B2403" i="1"/>
  <c r="H2403" i="1"/>
  <c r="I2403" i="1"/>
  <c r="D2696" i="1"/>
  <c r="E2696" i="1"/>
  <c r="F2696" i="1"/>
  <c r="G2696" i="1"/>
  <c r="A2696" i="1"/>
  <c r="B2696" i="1"/>
  <c r="H2696" i="1"/>
  <c r="I2696" i="1"/>
  <c r="D3344" i="1"/>
  <c r="E3344" i="1"/>
  <c r="F3344" i="1"/>
  <c r="G3344" i="1"/>
  <c r="A3344" i="1"/>
  <c r="B3344" i="1"/>
  <c r="H3344" i="1"/>
  <c r="I3344" i="1"/>
  <c r="D3345" i="1"/>
  <c r="E3345" i="1"/>
  <c r="F3345" i="1"/>
  <c r="G3345" i="1"/>
  <c r="A3345" i="1"/>
  <c r="B3345" i="1"/>
  <c r="H3345" i="1"/>
  <c r="I3345" i="1"/>
  <c r="D2397" i="1"/>
  <c r="E2397" i="1"/>
  <c r="F2397" i="1"/>
  <c r="G2397" i="1"/>
  <c r="A2397" i="1"/>
  <c r="B2397" i="1"/>
  <c r="H2397" i="1"/>
  <c r="I2397" i="1"/>
  <c r="D3170" i="1"/>
  <c r="E3170" i="1"/>
  <c r="F3170" i="1"/>
  <c r="G3170" i="1"/>
  <c r="A3170" i="1"/>
  <c r="B3170" i="1"/>
  <c r="H3170" i="1"/>
  <c r="I3170" i="1"/>
  <c r="D3171" i="1"/>
  <c r="E3171" i="1"/>
  <c r="F3171" i="1"/>
  <c r="G3171" i="1"/>
  <c r="A3171" i="1"/>
  <c r="B3171" i="1"/>
  <c r="H3171" i="1"/>
  <c r="I3171" i="1"/>
  <c r="D3000" i="1"/>
  <c r="E3000" i="1"/>
  <c r="F3000" i="1"/>
  <c r="G3000" i="1"/>
  <c r="A3000" i="1"/>
  <c r="B3000" i="1"/>
  <c r="H3000" i="1"/>
  <c r="I3000" i="1"/>
  <c r="D2982" i="1"/>
  <c r="E2982" i="1"/>
  <c r="F2982" i="1"/>
  <c r="G2982" i="1"/>
  <c r="A2982" i="1"/>
  <c r="B2982" i="1"/>
  <c r="H2982" i="1"/>
  <c r="I2982" i="1"/>
  <c r="D1343" i="1"/>
  <c r="E1343" i="1"/>
  <c r="F1343" i="1"/>
  <c r="G1343" i="1"/>
  <c r="A1343" i="1"/>
  <c r="B1343" i="1"/>
  <c r="H1343" i="1"/>
  <c r="I1343" i="1"/>
  <c r="D3011" i="1"/>
  <c r="E3011" i="1"/>
  <c r="F3011" i="1"/>
  <c r="G3011" i="1"/>
  <c r="A3011" i="1"/>
  <c r="B3011" i="1"/>
  <c r="H3011" i="1"/>
  <c r="I3011" i="1"/>
  <c r="D1344" i="1"/>
  <c r="E1344" i="1"/>
  <c r="F1344" i="1"/>
  <c r="G1344" i="1"/>
  <c r="A1344" i="1"/>
  <c r="B1344" i="1"/>
  <c r="H1344" i="1"/>
  <c r="I1344" i="1"/>
  <c r="D1348" i="1"/>
  <c r="E1348" i="1"/>
  <c r="F1348" i="1"/>
  <c r="G1348" i="1"/>
  <c r="A1348" i="1"/>
  <c r="B1348" i="1"/>
  <c r="H1348" i="1"/>
  <c r="I1348" i="1"/>
  <c r="D3005" i="1"/>
  <c r="E3005" i="1"/>
  <c r="F3005" i="1"/>
  <c r="G3005" i="1"/>
  <c r="A3005" i="1"/>
  <c r="B3005" i="1"/>
  <c r="H3005" i="1"/>
  <c r="I3005" i="1"/>
  <c r="D3006" i="1"/>
  <c r="E3006" i="1"/>
  <c r="F3006" i="1"/>
  <c r="G3006" i="1"/>
  <c r="A3006" i="1"/>
  <c r="B3006" i="1"/>
  <c r="H3006" i="1"/>
  <c r="I3006" i="1"/>
  <c r="D3008" i="1"/>
  <c r="E3008" i="1"/>
  <c r="F3008" i="1"/>
  <c r="G3008" i="1"/>
  <c r="A3008" i="1"/>
  <c r="B3008" i="1"/>
  <c r="H3008" i="1"/>
  <c r="I3008" i="1"/>
  <c r="D1345" i="1"/>
  <c r="E1345" i="1"/>
  <c r="F1345" i="1"/>
  <c r="G1345" i="1"/>
  <c r="A1345" i="1"/>
  <c r="B1345" i="1"/>
  <c r="H1345" i="1"/>
  <c r="I1345" i="1"/>
  <c r="D3315" i="1"/>
  <c r="E3315" i="1"/>
  <c r="F3315" i="1"/>
  <c r="G3315" i="1"/>
  <c r="A3315" i="1"/>
  <c r="B3315" i="1"/>
  <c r="H3315" i="1"/>
  <c r="I3315" i="1"/>
  <c r="D3009" i="1"/>
  <c r="E3009" i="1"/>
  <c r="F3009" i="1"/>
  <c r="G3009" i="1"/>
  <c r="A3009" i="1"/>
  <c r="B3009" i="1"/>
  <c r="H3009" i="1"/>
  <c r="I3009" i="1"/>
  <c r="D3007" i="1"/>
  <c r="E3007" i="1"/>
  <c r="F3007" i="1"/>
  <c r="G3007" i="1"/>
  <c r="A3007" i="1"/>
  <c r="B3007" i="1"/>
  <c r="H3007" i="1"/>
  <c r="I3007" i="1"/>
  <c r="D2986" i="1"/>
  <c r="E2986" i="1"/>
  <c r="F2986" i="1"/>
  <c r="G2986" i="1"/>
  <c r="A2986" i="1"/>
  <c r="B2986" i="1"/>
  <c r="H2986" i="1"/>
  <c r="I2986" i="1"/>
  <c r="D1489" i="1"/>
  <c r="E1489" i="1"/>
  <c r="F1489" i="1"/>
  <c r="G1489" i="1"/>
  <c r="A1489" i="1"/>
  <c r="B1489" i="1"/>
  <c r="H1489" i="1"/>
  <c r="I1489" i="1"/>
  <c r="D2981" i="1"/>
  <c r="E2981" i="1"/>
  <c r="F2981" i="1"/>
  <c r="G2981" i="1"/>
  <c r="A2981" i="1"/>
  <c r="B2981" i="1"/>
  <c r="H2981" i="1"/>
  <c r="I2981" i="1"/>
  <c r="D3314" i="1"/>
  <c r="E3314" i="1"/>
  <c r="F3314" i="1"/>
  <c r="G3314" i="1"/>
  <c r="A3314" i="1"/>
  <c r="B3314" i="1"/>
  <c r="H3314" i="1"/>
  <c r="I3314" i="1"/>
  <c r="D2995" i="1"/>
  <c r="E2995" i="1"/>
  <c r="F2995" i="1"/>
  <c r="G2995" i="1"/>
  <c r="A2995" i="1"/>
  <c r="B2995" i="1"/>
  <c r="H2995" i="1"/>
  <c r="I2995" i="1"/>
  <c r="D3074" i="1"/>
  <c r="E3074" i="1"/>
  <c r="F3074" i="1"/>
  <c r="G3074" i="1"/>
  <c r="A3074" i="1"/>
  <c r="B3074" i="1"/>
  <c r="H3074" i="1"/>
  <c r="I3074" i="1"/>
  <c r="D2979" i="1"/>
  <c r="E2979" i="1"/>
  <c r="F2979" i="1"/>
  <c r="G2979" i="1"/>
  <c r="A2979" i="1"/>
  <c r="B2979" i="1"/>
  <c r="H2979" i="1"/>
  <c r="I2979" i="1"/>
  <c r="D2988" i="1"/>
  <c r="E2988" i="1"/>
  <c r="F2988" i="1"/>
  <c r="G2988" i="1"/>
  <c r="A2988" i="1"/>
  <c r="B2988" i="1"/>
  <c r="H2988" i="1"/>
  <c r="I2988" i="1"/>
  <c r="D2983" i="1"/>
  <c r="E2983" i="1"/>
  <c r="F2983" i="1"/>
  <c r="G2983" i="1"/>
  <c r="A2983" i="1"/>
  <c r="B2983" i="1"/>
  <c r="H2983" i="1"/>
  <c r="I2983" i="1"/>
  <c r="D2978" i="1"/>
  <c r="E2978" i="1"/>
  <c r="F2978" i="1"/>
  <c r="G2978" i="1"/>
  <c r="A2978" i="1"/>
  <c r="B2978" i="1"/>
  <c r="H2978" i="1"/>
  <c r="I2978" i="1"/>
  <c r="D2999" i="1"/>
  <c r="E2999" i="1"/>
  <c r="F2999" i="1"/>
  <c r="G2999" i="1"/>
  <c r="A2999" i="1"/>
  <c r="B2999" i="1"/>
  <c r="H2999" i="1"/>
  <c r="I2999" i="1"/>
  <c r="D2993" i="1"/>
  <c r="E2993" i="1"/>
  <c r="F2993" i="1"/>
  <c r="G2993" i="1"/>
  <c r="A2993" i="1"/>
  <c r="B2993" i="1"/>
  <c r="H2993" i="1"/>
  <c r="I2993" i="1"/>
  <c r="D2980" i="1"/>
  <c r="E2980" i="1"/>
  <c r="F2980" i="1"/>
  <c r="G2980" i="1"/>
  <c r="A2980" i="1"/>
  <c r="B2980" i="1"/>
  <c r="H2980" i="1"/>
  <c r="I2980" i="1"/>
  <c r="D2991" i="1"/>
  <c r="E2991" i="1"/>
  <c r="F2991" i="1"/>
  <c r="G2991" i="1"/>
  <c r="A2991" i="1"/>
  <c r="B2991" i="1"/>
  <c r="H2991" i="1"/>
  <c r="I2991" i="1"/>
  <c r="D2987" i="1"/>
  <c r="E2987" i="1"/>
  <c r="F2987" i="1"/>
  <c r="G2987" i="1"/>
  <c r="A2987" i="1"/>
  <c r="B2987" i="1"/>
  <c r="H2987" i="1"/>
  <c r="I2987" i="1"/>
  <c r="D2994" i="1"/>
  <c r="E2994" i="1"/>
  <c r="F2994" i="1"/>
  <c r="G2994" i="1"/>
  <c r="A2994" i="1"/>
  <c r="B2994" i="1"/>
  <c r="H2994" i="1"/>
  <c r="I2994" i="1"/>
  <c r="D3010" i="1"/>
  <c r="E3010" i="1"/>
  <c r="F3010" i="1"/>
  <c r="G3010" i="1"/>
  <c r="A3010" i="1"/>
  <c r="B3010" i="1"/>
  <c r="H3010" i="1"/>
  <c r="I3010" i="1"/>
  <c r="D3079" i="1"/>
  <c r="E3079" i="1"/>
  <c r="F3079" i="1"/>
  <c r="G3079" i="1"/>
  <c r="A3079" i="1"/>
  <c r="B3079" i="1"/>
  <c r="H3079" i="1"/>
  <c r="I3079" i="1"/>
  <c r="D2591" i="1"/>
  <c r="E2591" i="1"/>
  <c r="F2591" i="1"/>
  <c r="G2591" i="1"/>
  <c r="A2591" i="1"/>
  <c r="B2591" i="1"/>
  <c r="H2591" i="1"/>
  <c r="I2591" i="1"/>
  <c r="D1346" i="1"/>
  <c r="E1346" i="1"/>
  <c r="F1346" i="1"/>
  <c r="G1346" i="1"/>
  <c r="A1346" i="1"/>
  <c r="B1346" i="1"/>
  <c r="H1346" i="1"/>
  <c r="I1346" i="1"/>
  <c r="D3080" i="1"/>
  <c r="E3080" i="1"/>
  <c r="F3080" i="1"/>
  <c r="G3080" i="1"/>
  <c r="A3080" i="1"/>
  <c r="B3080" i="1"/>
  <c r="H3080" i="1"/>
  <c r="I3080" i="1"/>
  <c r="D3075" i="1"/>
  <c r="E3075" i="1"/>
  <c r="F3075" i="1"/>
  <c r="G3075" i="1"/>
  <c r="A3075" i="1"/>
  <c r="B3075" i="1"/>
  <c r="H3075" i="1"/>
  <c r="I3075" i="1"/>
  <c r="D2992" i="1"/>
  <c r="E2992" i="1"/>
  <c r="F2992" i="1"/>
  <c r="G2992" i="1"/>
  <c r="A2992" i="1"/>
  <c r="B2992" i="1"/>
  <c r="H2992" i="1"/>
  <c r="I2992" i="1"/>
  <c r="D2976" i="1"/>
  <c r="E2976" i="1"/>
  <c r="F2976" i="1"/>
  <c r="G2976" i="1"/>
  <c r="A2976" i="1"/>
  <c r="B2976" i="1"/>
  <c r="H2976" i="1"/>
  <c r="I2976" i="1"/>
  <c r="D2996" i="1"/>
  <c r="E2996" i="1"/>
  <c r="F2996" i="1"/>
  <c r="G2996" i="1"/>
  <c r="A2996" i="1"/>
  <c r="B2996" i="1"/>
  <c r="H2996" i="1"/>
  <c r="I2996" i="1"/>
  <c r="D2997" i="1"/>
  <c r="E2997" i="1"/>
  <c r="F2997" i="1"/>
  <c r="G2997" i="1"/>
  <c r="A2997" i="1"/>
  <c r="B2997" i="1"/>
  <c r="H2997" i="1"/>
  <c r="I2997" i="1"/>
  <c r="D3001" i="1"/>
  <c r="E3001" i="1"/>
  <c r="F3001" i="1"/>
  <c r="G3001" i="1"/>
  <c r="A3001" i="1"/>
  <c r="B3001" i="1"/>
  <c r="H3001" i="1"/>
  <c r="I3001" i="1"/>
  <c r="D3002" i="1"/>
  <c r="E3002" i="1"/>
  <c r="F3002" i="1"/>
  <c r="G3002" i="1"/>
  <c r="A3002" i="1"/>
  <c r="B3002" i="1"/>
  <c r="H3002" i="1"/>
  <c r="I3002" i="1"/>
  <c r="D3003" i="1"/>
  <c r="E3003" i="1"/>
  <c r="F3003" i="1"/>
  <c r="G3003" i="1"/>
  <c r="A3003" i="1"/>
  <c r="B3003" i="1"/>
  <c r="H3003" i="1"/>
  <c r="I3003" i="1"/>
  <c r="D3004" i="1"/>
  <c r="E3004" i="1"/>
  <c r="F3004" i="1"/>
  <c r="G3004" i="1"/>
  <c r="A3004" i="1"/>
  <c r="B3004" i="1"/>
  <c r="H3004" i="1"/>
  <c r="I3004" i="1"/>
  <c r="D1347" i="1"/>
  <c r="E1347" i="1"/>
  <c r="F1347" i="1"/>
  <c r="G1347" i="1"/>
  <c r="A1347" i="1"/>
  <c r="B1347" i="1"/>
  <c r="H1347" i="1"/>
  <c r="I1347" i="1"/>
  <c r="D2998" i="1"/>
  <c r="E2998" i="1"/>
  <c r="F2998" i="1"/>
  <c r="G2998" i="1"/>
  <c r="A2998" i="1"/>
  <c r="B2998" i="1"/>
  <c r="H2998" i="1"/>
  <c r="I2998" i="1"/>
  <c r="D2977" i="1"/>
  <c r="E2977" i="1"/>
  <c r="F2977" i="1"/>
  <c r="G2977" i="1"/>
  <c r="A2977" i="1"/>
  <c r="B2977" i="1"/>
  <c r="H2977" i="1"/>
  <c r="I2977" i="1"/>
  <c r="D2990" i="1"/>
  <c r="E2990" i="1"/>
  <c r="F2990" i="1"/>
  <c r="G2990" i="1"/>
  <c r="A2990" i="1"/>
  <c r="B2990" i="1"/>
  <c r="H2990" i="1"/>
  <c r="I2990" i="1"/>
  <c r="D3241" i="1"/>
  <c r="E3241" i="1"/>
  <c r="F3241" i="1"/>
  <c r="G3241" i="1"/>
  <c r="A3241" i="1"/>
  <c r="B3241" i="1"/>
  <c r="H3241" i="1"/>
  <c r="I3241" i="1"/>
  <c r="D3169" i="1"/>
  <c r="E3169" i="1"/>
  <c r="F3169" i="1"/>
  <c r="G3169" i="1"/>
  <c r="A3169" i="1"/>
  <c r="B3169" i="1"/>
  <c r="H3169" i="1"/>
  <c r="I3169" i="1"/>
  <c r="D1342" i="1"/>
  <c r="E1342" i="1"/>
  <c r="F1342" i="1"/>
  <c r="G1342" i="1"/>
  <c r="A1342" i="1"/>
  <c r="B1342" i="1"/>
  <c r="H1342" i="1"/>
  <c r="I1342" i="1"/>
  <c r="D2984" i="1"/>
  <c r="E2984" i="1"/>
  <c r="F2984" i="1"/>
  <c r="G2984" i="1"/>
  <c r="A2984" i="1"/>
  <c r="B2984" i="1"/>
  <c r="H2984" i="1"/>
  <c r="I2984" i="1"/>
  <c r="D2985" i="1"/>
  <c r="E2985" i="1"/>
  <c r="F2985" i="1"/>
  <c r="G2985" i="1"/>
  <c r="A2985" i="1"/>
  <c r="B2985" i="1"/>
  <c r="H2985" i="1"/>
  <c r="I2985" i="1"/>
  <c r="D2989" i="1"/>
  <c r="E2989" i="1"/>
  <c r="F2989" i="1"/>
  <c r="G2989" i="1"/>
  <c r="A2989" i="1"/>
  <c r="B2989" i="1"/>
  <c r="H2989" i="1"/>
  <c r="I2989" i="1"/>
  <c r="D3012" i="1"/>
  <c r="E3012" i="1"/>
  <c r="F3012" i="1"/>
  <c r="G3012" i="1"/>
  <c r="A3012" i="1"/>
  <c r="B3012" i="1"/>
  <c r="H3012" i="1"/>
  <c r="I3012" i="1"/>
  <c r="D1878" i="1"/>
  <c r="E1878" i="1"/>
  <c r="F1878" i="1"/>
  <c r="G1878" i="1"/>
  <c r="A1878" i="1"/>
  <c r="B1878" i="1"/>
  <c r="H1878" i="1"/>
  <c r="I1878" i="1"/>
  <c r="D2958" i="1"/>
  <c r="E2958" i="1"/>
  <c r="F2958" i="1"/>
  <c r="G2958" i="1"/>
  <c r="A2958" i="1"/>
  <c r="B2958" i="1"/>
  <c r="H2958" i="1"/>
  <c r="I2958" i="1"/>
  <c r="D1879" i="1"/>
  <c r="E1879" i="1"/>
  <c r="F1879" i="1"/>
  <c r="G1879" i="1"/>
  <c r="A1879" i="1"/>
  <c r="B1879" i="1"/>
  <c r="H1879" i="1"/>
  <c r="I1879" i="1"/>
  <c r="D3281" i="1"/>
  <c r="E3281" i="1"/>
  <c r="F3281" i="1"/>
  <c r="G3281" i="1"/>
  <c r="A3281" i="1"/>
  <c r="B3281" i="1"/>
  <c r="H3281" i="1"/>
  <c r="I3281" i="1"/>
  <c r="D548" i="1"/>
  <c r="E548" i="1"/>
  <c r="F548" i="1"/>
  <c r="G548" i="1"/>
  <c r="A548" i="1"/>
  <c r="B548" i="1"/>
  <c r="H548" i="1"/>
  <c r="I548" i="1"/>
  <c r="D549" i="1"/>
  <c r="E549" i="1"/>
  <c r="F549" i="1"/>
  <c r="G549" i="1"/>
  <c r="A549" i="1"/>
  <c r="B549" i="1"/>
  <c r="H549" i="1"/>
  <c r="I549" i="1"/>
  <c r="D3054" i="1"/>
  <c r="E3054" i="1"/>
  <c r="F3054" i="1"/>
  <c r="G3054" i="1"/>
  <c r="A3054" i="1"/>
  <c r="B3054" i="1"/>
  <c r="H3054" i="1"/>
  <c r="I3054" i="1"/>
  <c r="D2959" i="1"/>
  <c r="E2959" i="1"/>
  <c r="F2959" i="1"/>
  <c r="G2959" i="1"/>
  <c r="A2959" i="1"/>
  <c r="B2959" i="1"/>
  <c r="H2959" i="1"/>
  <c r="I2959" i="1"/>
  <c r="D535" i="1"/>
  <c r="E535" i="1"/>
  <c r="F535" i="1"/>
  <c r="G535" i="1"/>
  <c r="A535" i="1"/>
  <c r="B535" i="1"/>
  <c r="H535" i="1"/>
  <c r="I535" i="1"/>
  <c r="D1902" i="1"/>
  <c r="E1902" i="1"/>
  <c r="F1902" i="1"/>
  <c r="G1902" i="1"/>
  <c r="A1902" i="1"/>
  <c r="B1902" i="1"/>
  <c r="H1902" i="1"/>
  <c r="I1902" i="1"/>
  <c r="D1885" i="1"/>
  <c r="E1885" i="1"/>
  <c r="F1885" i="1"/>
  <c r="G1885" i="1"/>
  <c r="A1885" i="1"/>
  <c r="B1885" i="1"/>
  <c r="H1885" i="1"/>
  <c r="I1885" i="1"/>
  <c r="D541" i="1"/>
  <c r="E541" i="1"/>
  <c r="F541" i="1"/>
  <c r="G541" i="1"/>
  <c r="A541" i="1"/>
  <c r="B541" i="1"/>
  <c r="H541" i="1"/>
  <c r="I541" i="1"/>
  <c r="D542" i="1"/>
  <c r="E542" i="1"/>
  <c r="F542" i="1"/>
  <c r="G542" i="1"/>
  <c r="A542" i="1"/>
  <c r="B542" i="1"/>
  <c r="H542" i="1"/>
  <c r="I542" i="1"/>
  <c r="D1897" i="1"/>
  <c r="E1897" i="1"/>
  <c r="F1897" i="1"/>
  <c r="G1897" i="1"/>
  <c r="A1897" i="1"/>
  <c r="B1897" i="1"/>
  <c r="H1897" i="1"/>
  <c r="I1897" i="1"/>
  <c r="D1899" i="1"/>
  <c r="E1899" i="1"/>
  <c r="F1899" i="1"/>
  <c r="G1899" i="1"/>
  <c r="A1899" i="1"/>
  <c r="B1899" i="1"/>
  <c r="H1899" i="1"/>
  <c r="I1899" i="1"/>
  <c r="D1895" i="1"/>
  <c r="E1895" i="1"/>
  <c r="F1895" i="1"/>
  <c r="G1895" i="1"/>
  <c r="A1895" i="1"/>
  <c r="B1895" i="1"/>
  <c r="H1895" i="1"/>
  <c r="I1895" i="1"/>
  <c r="D547" i="1"/>
  <c r="E547" i="1"/>
  <c r="F547" i="1"/>
  <c r="G547" i="1"/>
  <c r="A547" i="1"/>
  <c r="B547" i="1"/>
  <c r="H547" i="1"/>
  <c r="I547" i="1"/>
  <c r="D1880" i="1"/>
  <c r="E1880" i="1"/>
  <c r="F1880" i="1"/>
  <c r="G1880" i="1"/>
  <c r="A1880" i="1"/>
  <c r="B1880" i="1"/>
  <c r="H1880" i="1"/>
  <c r="I1880" i="1"/>
  <c r="D540" i="1"/>
  <c r="E540" i="1"/>
  <c r="F540" i="1"/>
  <c r="G540" i="1"/>
  <c r="A540" i="1"/>
  <c r="B540" i="1"/>
  <c r="H540" i="1"/>
  <c r="I540" i="1"/>
  <c r="D1873" i="1"/>
  <c r="E1873" i="1"/>
  <c r="F1873" i="1"/>
  <c r="G1873" i="1"/>
  <c r="A1873" i="1"/>
  <c r="B1873" i="1"/>
  <c r="H1873" i="1"/>
  <c r="I1873" i="1"/>
  <c r="D536" i="1"/>
  <c r="E536" i="1"/>
  <c r="F536" i="1"/>
  <c r="G536" i="1"/>
  <c r="A536" i="1"/>
  <c r="B536" i="1"/>
  <c r="H536" i="1"/>
  <c r="I536" i="1"/>
  <c r="D544" i="1"/>
  <c r="E544" i="1"/>
  <c r="F544" i="1"/>
  <c r="G544" i="1"/>
  <c r="A544" i="1"/>
  <c r="B544" i="1"/>
  <c r="H544" i="1"/>
  <c r="I544" i="1"/>
  <c r="D545" i="1"/>
  <c r="E545" i="1"/>
  <c r="F545" i="1"/>
  <c r="G545" i="1"/>
  <c r="A545" i="1"/>
  <c r="B545" i="1"/>
  <c r="H545" i="1"/>
  <c r="I545" i="1"/>
  <c r="D3266" i="1"/>
  <c r="E3266" i="1"/>
  <c r="F3266" i="1"/>
  <c r="G3266" i="1"/>
  <c r="A3266" i="1"/>
  <c r="B3266" i="1"/>
  <c r="H3266" i="1"/>
  <c r="I3266" i="1"/>
  <c r="D1881" i="1"/>
  <c r="E1881" i="1"/>
  <c r="F1881" i="1"/>
  <c r="G1881" i="1"/>
  <c r="A1881" i="1"/>
  <c r="B1881" i="1"/>
  <c r="H1881" i="1"/>
  <c r="I1881" i="1"/>
  <c r="D3263" i="1"/>
  <c r="E3263" i="1"/>
  <c r="F3263" i="1"/>
  <c r="G3263" i="1"/>
  <c r="A3263" i="1"/>
  <c r="B3263" i="1"/>
  <c r="H3263" i="1"/>
  <c r="I3263" i="1"/>
  <c r="D3267" i="1"/>
  <c r="E3267" i="1"/>
  <c r="F3267" i="1"/>
  <c r="G3267" i="1"/>
  <c r="A3267" i="1"/>
  <c r="B3267" i="1"/>
  <c r="H3267" i="1"/>
  <c r="I3267" i="1"/>
  <c r="D137" i="1"/>
  <c r="E137" i="1"/>
  <c r="F137" i="1"/>
  <c r="G137" i="1"/>
  <c r="A137" i="1"/>
  <c r="B137" i="1"/>
  <c r="H137" i="1"/>
  <c r="I137" i="1"/>
  <c r="D2961" i="1"/>
  <c r="E2961" i="1"/>
  <c r="F2961" i="1"/>
  <c r="G2961" i="1"/>
  <c r="A2961" i="1"/>
  <c r="B2961" i="1"/>
  <c r="H2961" i="1"/>
  <c r="I2961" i="1"/>
  <c r="D3269" i="1"/>
  <c r="E3269" i="1"/>
  <c r="F3269" i="1"/>
  <c r="G3269" i="1"/>
  <c r="A3269" i="1"/>
  <c r="B3269" i="1"/>
  <c r="H3269" i="1"/>
  <c r="I3269" i="1"/>
  <c r="D1882" i="1"/>
  <c r="E1882" i="1"/>
  <c r="F1882" i="1"/>
  <c r="G1882" i="1"/>
  <c r="A1882" i="1"/>
  <c r="B1882" i="1"/>
  <c r="H1882" i="1"/>
  <c r="I1882" i="1"/>
  <c r="D3268" i="1"/>
  <c r="E3268" i="1"/>
  <c r="F3268" i="1"/>
  <c r="G3268" i="1"/>
  <c r="A3268" i="1"/>
  <c r="B3268" i="1"/>
  <c r="H3268" i="1"/>
  <c r="I3268" i="1"/>
  <c r="D1896" i="1"/>
  <c r="E1896" i="1"/>
  <c r="F1896" i="1"/>
  <c r="G1896" i="1"/>
  <c r="A1896" i="1"/>
  <c r="B1896" i="1"/>
  <c r="H1896" i="1"/>
  <c r="I1896" i="1"/>
  <c r="D534" i="1"/>
  <c r="E534" i="1"/>
  <c r="F534" i="1"/>
  <c r="G534" i="1"/>
  <c r="A534" i="1"/>
  <c r="B534" i="1"/>
  <c r="H534" i="1"/>
  <c r="I534" i="1"/>
  <c r="D1871" i="1"/>
  <c r="E1871" i="1"/>
  <c r="F1871" i="1"/>
  <c r="G1871" i="1"/>
  <c r="A1871" i="1"/>
  <c r="B1871" i="1"/>
  <c r="H1871" i="1"/>
  <c r="I1871" i="1"/>
  <c r="D3264" i="1"/>
  <c r="E3264" i="1"/>
  <c r="F3264" i="1"/>
  <c r="G3264" i="1"/>
  <c r="A3264" i="1"/>
  <c r="B3264" i="1"/>
  <c r="H3264" i="1"/>
  <c r="I3264" i="1"/>
  <c r="D1883" i="1"/>
  <c r="E1883" i="1"/>
  <c r="F1883" i="1"/>
  <c r="G1883" i="1"/>
  <c r="A1883" i="1"/>
  <c r="B1883" i="1"/>
  <c r="H1883" i="1"/>
  <c r="I1883" i="1"/>
  <c r="D135" i="1"/>
  <c r="E135" i="1"/>
  <c r="F135" i="1"/>
  <c r="G135" i="1"/>
  <c r="A135" i="1"/>
  <c r="B135" i="1"/>
  <c r="H135" i="1"/>
  <c r="I135" i="1"/>
  <c r="D1898" i="1"/>
  <c r="E1898" i="1"/>
  <c r="F1898" i="1"/>
  <c r="G1898" i="1"/>
  <c r="A1898" i="1"/>
  <c r="B1898" i="1"/>
  <c r="H1898" i="1"/>
  <c r="I1898" i="1"/>
  <c r="D543" i="1"/>
  <c r="E543" i="1"/>
  <c r="F543" i="1"/>
  <c r="G543" i="1"/>
  <c r="A543" i="1"/>
  <c r="B543" i="1"/>
  <c r="H543" i="1"/>
  <c r="I543" i="1"/>
  <c r="D537" i="1"/>
  <c r="E537" i="1"/>
  <c r="F537" i="1"/>
  <c r="G537" i="1"/>
  <c r="A537" i="1"/>
  <c r="B537" i="1"/>
  <c r="H537" i="1"/>
  <c r="I537" i="1"/>
  <c r="D538" i="1"/>
  <c r="E538" i="1"/>
  <c r="F538" i="1"/>
  <c r="G538" i="1"/>
  <c r="A538" i="1"/>
  <c r="B538" i="1"/>
  <c r="H538" i="1"/>
  <c r="I538" i="1"/>
  <c r="D1888" i="1"/>
  <c r="E1888" i="1"/>
  <c r="F1888" i="1"/>
  <c r="G1888" i="1"/>
  <c r="A1888" i="1"/>
  <c r="B1888" i="1"/>
  <c r="H1888" i="1"/>
  <c r="I1888" i="1"/>
  <c r="D3255" i="1"/>
  <c r="E3255" i="1"/>
  <c r="F3255" i="1"/>
  <c r="G3255" i="1"/>
  <c r="A3255" i="1"/>
  <c r="B3255" i="1"/>
  <c r="H3255" i="1"/>
  <c r="I3255" i="1"/>
  <c r="D1901" i="1"/>
  <c r="E1901" i="1"/>
  <c r="F1901" i="1"/>
  <c r="G1901" i="1"/>
  <c r="A1901" i="1"/>
  <c r="B1901" i="1"/>
  <c r="H1901" i="1"/>
  <c r="I1901" i="1"/>
  <c r="D3257" i="1"/>
  <c r="E3257" i="1"/>
  <c r="F3257" i="1"/>
  <c r="G3257" i="1"/>
  <c r="A3257" i="1"/>
  <c r="B3257" i="1"/>
  <c r="H3257" i="1"/>
  <c r="I3257" i="1"/>
  <c r="D3259" i="1"/>
  <c r="E3259" i="1"/>
  <c r="F3259" i="1"/>
  <c r="G3259" i="1"/>
  <c r="A3259" i="1"/>
  <c r="B3259" i="1"/>
  <c r="H3259" i="1"/>
  <c r="I3259" i="1"/>
  <c r="D1886" i="1"/>
  <c r="E1886" i="1"/>
  <c r="F1886" i="1"/>
  <c r="G1886" i="1"/>
  <c r="A1886" i="1"/>
  <c r="B1886" i="1"/>
  <c r="H1886" i="1"/>
  <c r="I1886" i="1"/>
  <c r="D539" i="1"/>
  <c r="E539" i="1"/>
  <c r="F539" i="1"/>
  <c r="G539" i="1"/>
  <c r="A539" i="1"/>
  <c r="B539" i="1"/>
  <c r="H539" i="1"/>
  <c r="I539" i="1"/>
  <c r="D1891" i="1"/>
  <c r="E1891" i="1"/>
  <c r="F1891" i="1"/>
  <c r="G1891" i="1"/>
  <c r="A1891" i="1"/>
  <c r="B1891" i="1"/>
  <c r="H1891" i="1"/>
  <c r="I1891" i="1"/>
  <c r="D550" i="1"/>
  <c r="E550" i="1"/>
  <c r="F550" i="1"/>
  <c r="G550" i="1"/>
  <c r="A550" i="1"/>
  <c r="B550" i="1"/>
  <c r="H550" i="1"/>
  <c r="I550" i="1"/>
  <c r="D1900" i="1"/>
  <c r="E1900" i="1"/>
  <c r="F1900" i="1"/>
  <c r="G1900" i="1"/>
  <c r="A1900" i="1"/>
  <c r="B1900" i="1"/>
  <c r="H1900" i="1"/>
  <c r="I1900" i="1"/>
  <c r="D3256" i="1"/>
  <c r="E3256" i="1"/>
  <c r="F3256" i="1"/>
  <c r="G3256" i="1"/>
  <c r="A3256" i="1"/>
  <c r="B3256" i="1"/>
  <c r="H3256" i="1"/>
  <c r="I3256" i="1"/>
  <c r="D1894" i="1"/>
  <c r="E1894" i="1"/>
  <c r="F1894" i="1"/>
  <c r="G1894" i="1"/>
  <c r="A1894" i="1"/>
  <c r="B1894" i="1"/>
  <c r="H1894" i="1"/>
  <c r="I1894" i="1"/>
  <c r="D3051" i="1"/>
  <c r="E3051" i="1"/>
  <c r="F3051" i="1"/>
  <c r="G3051" i="1"/>
  <c r="A3051" i="1"/>
  <c r="B3051" i="1"/>
  <c r="H3051" i="1"/>
  <c r="I3051" i="1"/>
  <c r="D3052" i="1"/>
  <c r="E3052" i="1"/>
  <c r="F3052" i="1"/>
  <c r="G3052" i="1"/>
  <c r="A3052" i="1"/>
  <c r="B3052" i="1"/>
  <c r="H3052" i="1"/>
  <c r="I3052" i="1"/>
  <c r="D1889" i="1"/>
  <c r="E1889" i="1"/>
  <c r="F1889" i="1"/>
  <c r="G1889" i="1"/>
  <c r="A1889" i="1"/>
  <c r="B1889" i="1"/>
  <c r="H1889" i="1"/>
  <c r="I1889" i="1"/>
  <c r="D3053" i="1"/>
  <c r="E3053" i="1"/>
  <c r="F3053" i="1"/>
  <c r="G3053" i="1"/>
  <c r="A3053" i="1"/>
  <c r="B3053" i="1"/>
  <c r="H3053" i="1"/>
  <c r="I3053" i="1"/>
  <c r="D546" i="1"/>
  <c r="E546" i="1"/>
  <c r="F546" i="1"/>
  <c r="G546" i="1"/>
  <c r="A546" i="1"/>
  <c r="B546" i="1"/>
  <c r="H546" i="1"/>
  <c r="I546" i="1"/>
  <c r="D551" i="1"/>
  <c r="E551" i="1"/>
  <c r="F551" i="1"/>
  <c r="G551" i="1"/>
  <c r="A551" i="1"/>
  <c r="B551" i="1"/>
  <c r="H551" i="1"/>
  <c r="I551" i="1"/>
  <c r="D3261" i="1"/>
  <c r="E3261" i="1"/>
  <c r="F3261" i="1"/>
  <c r="G3261" i="1"/>
  <c r="A3261" i="1"/>
  <c r="B3261" i="1"/>
  <c r="H3261" i="1"/>
  <c r="I3261" i="1"/>
  <c r="D3265" i="1"/>
  <c r="E3265" i="1"/>
  <c r="F3265" i="1"/>
  <c r="G3265" i="1"/>
  <c r="A3265" i="1"/>
  <c r="B3265" i="1"/>
  <c r="H3265" i="1"/>
  <c r="I3265" i="1"/>
  <c r="D1875" i="1"/>
  <c r="E1875" i="1"/>
  <c r="F1875" i="1"/>
  <c r="G1875" i="1"/>
  <c r="A1875" i="1"/>
  <c r="B1875" i="1"/>
  <c r="H1875" i="1"/>
  <c r="I1875" i="1"/>
  <c r="D1877" i="1"/>
  <c r="E1877" i="1"/>
  <c r="F1877" i="1"/>
  <c r="G1877" i="1"/>
  <c r="A1877" i="1"/>
  <c r="B1877" i="1"/>
  <c r="H1877" i="1"/>
  <c r="I1877" i="1"/>
  <c r="D1904" i="1"/>
  <c r="E1904" i="1"/>
  <c r="F1904" i="1"/>
  <c r="G1904" i="1"/>
  <c r="A1904" i="1"/>
  <c r="B1904" i="1"/>
  <c r="H1904" i="1"/>
  <c r="I1904" i="1"/>
  <c r="D3248" i="1"/>
  <c r="E3248" i="1"/>
  <c r="F3248" i="1"/>
  <c r="G3248" i="1"/>
  <c r="A3248" i="1"/>
  <c r="B3248" i="1"/>
  <c r="H3248" i="1"/>
  <c r="I3248" i="1"/>
  <c r="D3258" i="1"/>
  <c r="E3258" i="1"/>
  <c r="F3258" i="1"/>
  <c r="G3258" i="1"/>
  <c r="A3258" i="1"/>
  <c r="B3258" i="1"/>
  <c r="H3258" i="1"/>
  <c r="I3258" i="1"/>
  <c r="D1876" i="1"/>
  <c r="E1876" i="1"/>
  <c r="F1876" i="1"/>
  <c r="G1876" i="1"/>
  <c r="A1876" i="1"/>
  <c r="B1876" i="1"/>
  <c r="H1876" i="1"/>
  <c r="I1876" i="1"/>
  <c r="D1887" i="1"/>
  <c r="E1887" i="1"/>
  <c r="F1887" i="1"/>
  <c r="G1887" i="1"/>
  <c r="A1887" i="1"/>
  <c r="B1887" i="1"/>
  <c r="H1887" i="1"/>
  <c r="I1887" i="1"/>
  <c r="D1870" i="1"/>
  <c r="E1870" i="1"/>
  <c r="F1870" i="1"/>
  <c r="G1870" i="1"/>
  <c r="A1870" i="1"/>
  <c r="B1870" i="1"/>
  <c r="H1870" i="1"/>
  <c r="I1870" i="1"/>
  <c r="D1874" i="1"/>
  <c r="E1874" i="1"/>
  <c r="F1874" i="1"/>
  <c r="G1874" i="1"/>
  <c r="A1874" i="1"/>
  <c r="B1874" i="1"/>
  <c r="H1874" i="1"/>
  <c r="I1874" i="1"/>
  <c r="D1872" i="1"/>
  <c r="E1872" i="1"/>
  <c r="F1872" i="1"/>
  <c r="G1872" i="1"/>
  <c r="A1872" i="1"/>
  <c r="B1872" i="1"/>
  <c r="H1872" i="1"/>
  <c r="I1872" i="1"/>
  <c r="D3262" i="1"/>
  <c r="E3262" i="1"/>
  <c r="F3262" i="1"/>
  <c r="G3262" i="1"/>
  <c r="A3262" i="1"/>
  <c r="B3262" i="1"/>
  <c r="H3262" i="1"/>
  <c r="I3262" i="1"/>
  <c r="D3260" i="1"/>
  <c r="E3260" i="1"/>
  <c r="F3260" i="1"/>
  <c r="G3260" i="1"/>
  <c r="A3260" i="1"/>
  <c r="B3260" i="1"/>
  <c r="H3260" i="1"/>
  <c r="I3260" i="1"/>
  <c r="D1884" i="1"/>
  <c r="E1884" i="1"/>
  <c r="F1884" i="1"/>
  <c r="G1884" i="1"/>
  <c r="A1884" i="1"/>
  <c r="B1884" i="1"/>
  <c r="H1884" i="1"/>
  <c r="I1884" i="1"/>
  <c r="D1869" i="1"/>
  <c r="E1869" i="1"/>
  <c r="F1869" i="1"/>
  <c r="G1869" i="1"/>
  <c r="A1869" i="1"/>
  <c r="B1869" i="1"/>
  <c r="H1869" i="1"/>
  <c r="I1869" i="1"/>
  <c r="D1890" i="1"/>
  <c r="E1890" i="1"/>
  <c r="F1890" i="1"/>
  <c r="G1890" i="1"/>
  <c r="A1890" i="1"/>
  <c r="B1890" i="1"/>
  <c r="H1890" i="1"/>
  <c r="I1890" i="1"/>
  <c r="D1903" i="1"/>
  <c r="E1903" i="1"/>
  <c r="F1903" i="1"/>
  <c r="G1903" i="1"/>
  <c r="A1903" i="1"/>
  <c r="B1903" i="1"/>
  <c r="H1903" i="1"/>
  <c r="I1903" i="1"/>
  <c r="D1892" i="1"/>
  <c r="E1892" i="1"/>
  <c r="F1892" i="1"/>
  <c r="G1892" i="1"/>
  <c r="A1892" i="1"/>
  <c r="B1892" i="1"/>
  <c r="H1892" i="1"/>
  <c r="I1892" i="1"/>
  <c r="D2078" i="1"/>
  <c r="E2078" i="1"/>
  <c r="F2078" i="1"/>
  <c r="G2078" i="1"/>
  <c r="A2078" i="1"/>
  <c r="B2078" i="1"/>
  <c r="H2078" i="1"/>
  <c r="I2078" i="1"/>
  <c r="D966" i="1"/>
  <c r="E966" i="1"/>
  <c r="F966" i="1"/>
  <c r="G966" i="1"/>
  <c r="A966" i="1"/>
  <c r="B966" i="1"/>
  <c r="H966" i="1"/>
  <c r="I966" i="1"/>
  <c r="D2118" i="1"/>
  <c r="E2118" i="1"/>
  <c r="F2118" i="1"/>
  <c r="G2118" i="1"/>
  <c r="A2118" i="1"/>
  <c r="B2118" i="1"/>
  <c r="H2118" i="1"/>
  <c r="I2118" i="1"/>
  <c r="D1051" i="1"/>
  <c r="E1051" i="1"/>
  <c r="F1051" i="1"/>
  <c r="G1051" i="1"/>
  <c r="A1051" i="1"/>
  <c r="B1051" i="1"/>
  <c r="H1051" i="1"/>
  <c r="I1051" i="1"/>
  <c r="D1052" i="1"/>
  <c r="E1052" i="1"/>
  <c r="F1052" i="1"/>
  <c r="G1052" i="1"/>
  <c r="A1052" i="1"/>
  <c r="B1052" i="1"/>
  <c r="H1052" i="1"/>
  <c r="I1052" i="1"/>
  <c r="D919" i="1"/>
  <c r="E919" i="1"/>
  <c r="F919" i="1"/>
  <c r="G919" i="1"/>
  <c r="A919" i="1"/>
  <c r="B919" i="1"/>
  <c r="H919" i="1"/>
  <c r="I919" i="1"/>
  <c r="D941" i="1"/>
  <c r="E941" i="1"/>
  <c r="F941" i="1"/>
  <c r="G941" i="1"/>
  <c r="A941" i="1"/>
  <c r="B941" i="1"/>
  <c r="H941" i="1"/>
  <c r="I941" i="1"/>
  <c r="D2443" i="1"/>
  <c r="E2443" i="1"/>
  <c r="F2443" i="1"/>
  <c r="G2443" i="1"/>
  <c r="A2443" i="1"/>
  <c r="B2443" i="1"/>
  <c r="H2443" i="1"/>
  <c r="I2443" i="1"/>
  <c r="D856" i="1"/>
  <c r="E856" i="1"/>
  <c r="F856" i="1"/>
  <c r="G856" i="1"/>
  <c r="A856" i="1"/>
  <c r="B856" i="1"/>
  <c r="H856" i="1"/>
  <c r="I856" i="1"/>
  <c r="D2085" i="1"/>
  <c r="E2085" i="1"/>
  <c r="F2085" i="1"/>
  <c r="G2085" i="1"/>
  <c r="A2085" i="1"/>
  <c r="B2085" i="1"/>
  <c r="H2085" i="1"/>
  <c r="I2085" i="1"/>
  <c r="D460" i="1"/>
  <c r="E460" i="1"/>
  <c r="F460" i="1"/>
  <c r="G460" i="1"/>
  <c r="A460" i="1"/>
  <c r="B460" i="1"/>
  <c r="H460" i="1"/>
  <c r="I460" i="1"/>
  <c r="D1093" i="1"/>
  <c r="E1093" i="1"/>
  <c r="F1093" i="1"/>
  <c r="G1093" i="1"/>
  <c r="A1093" i="1"/>
  <c r="B1093" i="1"/>
  <c r="H1093" i="1"/>
  <c r="I1093" i="1"/>
  <c r="D3346" i="1"/>
  <c r="E3346" i="1"/>
  <c r="F3346" i="1"/>
  <c r="G3346" i="1"/>
  <c r="A3346" i="1"/>
  <c r="B3346" i="1"/>
  <c r="H3346" i="1"/>
  <c r="I3346" i="1"/>
  <c r="D464" i="1"/>
  <c r="E464" i="1"/>
  <c r="F464" i="1"/>
  <c r="G464" i="1"/>
  <c r="A464" i="1"/>
  <c r="B464" i="1"/>
  <c r="H464" i="1"/>
  <c r="I464" i="1"/>
  <c r="D2050" i="1"/>
  <c r="E2050" i="1"/>
  <c r="F2050" i="1"/>
  <c r="G2050" i="1"/>
  <c r="A2050" i="1"/>
  <c r="B2050" i="1"/>
  <c r="H2050" i="1"/>
  <c r="I2050" i="1"/>
  <c r="D1464" i="1"/>
  <c r="E1464" i="1"/>
  <c r="F1464" i="1"/>
  <c r="G1464" i="1"/>
  <c r="A1464" i="1"/>
  <c r="B1464" i="1"/>
  <c r="H1464" i="1"/>
  <c r="I1464" i="1"/>
  <c r="D1431" i="1"/>
  <c r="E1431" i="1"/>
  <c r="F1431" i="1"/>
  <c r="G1431" i="1"/>
  <c r="A1431" i="1"/>
  <c r="B1431" i="1"/>
  <c r="H1431" i="1"/>
  <c r="I1431" i="1"/>
  <c r="D1432" i="1"/>
  <c r="E1432" i="1"/>
  <c r="F1432" i="1"/>
  <c r="G1432" i="1"/>
  <c r="A1432" i="1"/>
  <c r="B1432" i="1"/>
  <c r="H1432" i="1"/>
  <c r="I1432" i="1"/>
  <c r="D1433" i="1"/>
  <c r="E1433" i="1"/>
  <c r="F1433" i="1"/>
  <c r="G1433" i="1"/>
  <c r="A1433" i="1"/>
  <c r="B1433" i="1"/>
  <c r="H1433" i="1"/>
  <c r="I1433" i="1"/>
  <c r="D859" i="1"/>
  <c r="E859" i="1"/>
  <c r="F859" i="1"/>
  <c r="G859" i="1"/>
  <c r="A859" i="1"/>
  <c r="B859" i="1"/>
  <c r="H859" i="1"/>
  <c r="I859" i="1"/>
  <c r="D3133" i="1"/>
  <c r="E3133" i="1"/>
  <c r="F3133" i="1"/>
  <c r="G3133" i="1"/>
  <c r="A3133" i="1"/>
  <c r="B3133" i="1"/>
  <c r="H3133" i="1"/>
  <c r="I3133" i="1"/>
  <c r="D1430" i="1"/>
  <c r="E1430" i="1"/>
  <c r="F1430" i="1"/>
  <c r="G1430" i="1"/>
  <c r="A1430" i="1"/>
  <c r="B1430" i="1"/>
  <c r="H1430" i="1"/>
  <c r="I1430" i="1"/>
  <c r="D1101" i="1"/>
  <c r="E1101" i="1"/>
  <c r="F1101" i="1"/>
  <c r="G1101" i="1"/>
  <c r="A1101" i="1"/>
  <c r="B1101" i="1"/>
  <c r="H1101" i="1"/>
  <c r="I1101" i="1"/>
  <c r="D916" i="1"/>
  <c r="E916" i="1"/>
  <c r="F916" i="1"/>
  <c r="G916" i="1"/>
  <c r="A916" i="1"/>
  <c r="B916" i="1"/>
  <c r="H916" i="1"/>
  <c r="I916" i="1"/>
  <c r="D2203" i="1"/>
  <c r="E2203" i="1"/>
  <c r="F2203" i="1"/>
  <c r="G2203" i="1"/>
  <c r="A2203" i="1"/>
  <c r="B2203" i="1"/>
  <c r="H2203" i="1"/>
  <c r="I2203" i="1"/>
  <c r="D1002" i="1"/>
  <c r="E1002" i="1"/>
  <c r="F1002" i="1"/>
  <c r="G1002" i="1"/>
  <c r="A1002" i="1"/>
  <c r="B1002" i="1"/>
  <c r="H1002" i="1"/>
  <c r="I1002" i="1"/>
  <c r="D2107" i="1"/>
  <c r="E2107" i="1"/>
  <c r="F2107" i="1"/>
  <c r="G2107" i="1"/>
  <c r="A2107" i="1"/>
  <c r="B2107" i="1"/>
  <c r="H2107" i="1"/>
  <c r="I2107" i="1"/>
  <c r="D2108" i="1"/>
  <c r="E2108" i="1"/>
  <c r="F2108" i="1"/>
  <c r="G2108" i="1"/>
  <c r="A2108" i="1"/>
  <c r="B2108" i="1"/>
  <c r="H2108" i="1"/>
  <c r="I2108" i="1"/>
  <c r="D913" i="1"/>
  <c r="E913" i="1"/>
  <c r="F913" i="1"/>
  <c r="G913" i="1"/>
  <c r="A913" i="1"/>
  <c r="B913" i="1"/>
  <c r="H913" i="1"/>
  <c r="I913" i="1"/>
  <c r="D2075" i="1"/>
  <c r="E2075" i="1"/>
  <c r="F2075" i="1"/>
  <c r="G2075" i="1"/>
  <c r="A2075" i="1"/>
  <c r="B2075" i="1"/>
  <c r="H2075" i="1"/>
  <c r="I2075" i="1"/>
  <c r="D404" i="1"/>
  <c r="E404" i="1"/>
  <c r="F404" i="1"/>
  <c r="G404" i="1"/>
  <c r="A404" i="1"/>
  <c r="B404" i="1"/>
  <c r="H404" i="1"/>
  <c r="I404" i="1"/>
  <c r="D2095" i="1"/>
  <c r="E2095" i="1"/>
  <c r="F2095" i="1"/>
  <c r="G2095" i="1"/>
  <c r="A2095" i="1"/>
  <c r="B2095" i="1"/>
  <c r="H2095" i="1"/>
  <c r="I2095" i="1"/>
  <c r="D2099" i="1"/>
  <c r="E2099" i="1"/>
  <c r="F2099" i="1"/>
  <c r="G2099" i="1"/>
  <c r="A2099" i="1"/>
  <c r="B2099" i="1"/>
  <c r="H2099" i="1"/>
  <c r="I2099" i="1"/>
  <c r="D930" i="1"/>
  <c r="E930" i="1"/>
  <c r="F930" i="1"/>
  <c r="G930" i="1"/>
  <c r="A930" i="1"/>
  <c r="B930" i="1"/>
  <c r="H930" i="1"/>
  <c r="I930" i="1"/>
  <c r="D2084" i="1"/>
  <c r="E2084" i="1"/>
  <c r="F2084" i="1"/>
  <c r="G2084" i="1"/>
  <c r="A2084" i="1"/>
  <c r="B2084" i="1"/>
  <c r="H2084" i="1"/>
  <c r="I2084" i="1"/>
  <c r="D842" i="1"/>
  <c r="E842" i="1"/>
  <c r="F842" i="1"/>
  <c r="G842" i="1"/>
  <c r="A842" i="1"/>
  <c r="B842" i="1"/>
  <c r="H842" i="1"/>
  <c r="I842" i="1"/>
  <c r="D924" i="1"/>
  <c r="E924" i="1"/>
  <c r="F924" i="1"/>
  <c r="G924" i="1"/>
  <c r="A924" i="1"/>
  <c r="B924" i="1"/>
  <c r="H924" i="1"/>
  <c r="I924" i="1"/>
  <c r="D2073" i="1"/>
  <c r="E2073" i="1"/>
  <c r="F2073" i="1"/>
  <c r="G2073" i="1"/>
  <c r="A2073" i="1"/>
  <c r="B2073" i="1"/>
  <c r="H2073" i="1"/>
  <c r="I2073" i="1"/>
  <c r="D417" i="1"/>
  <c r="E417" i="1"/>
  <c r="F417" i="1"/>
  <c r="G417" i="1"/>
  <c r="A417" i="1"/>
  <c r="B417" i="1"/>
  <c r="H417" i="1"/>
  <c r="I417" i="1"/>
  <c r="D1455" i="1"/>
  <c r="E1455" i="1"/>
  <c r="F1455" i="1"/>
  <c r="G1455" i="1"/>
  <c r="A1455" i="1"/>
  <c r="B1455" i="1"/>
  <c r="H1455" i="1"/>
  <c r="I1455" i="1"/>
  <c r="D1456" i="1"/>
  <c r="E1456" i="1"/>
  <c r="F1456" i="1"/>
  <c r="G1456" i="1"/>
  <c r="A1456" i="1"/>
  <c r="B1456" i="1"/>
  <c r="H1456" i="1"/>
  <c r="I1456" i="1"/>
  <c r="D1457" i="1"/>
  <c r="E1457" i="1"/>
  <c r="F1457" i="1"/>
  <c r="G1457" i="1"/>
  <c r="A1457" i="1"/>
  <c r="B1457" i="1"/>
  <c r="H1457" i="1"/>
  <c r="I1457" i="1"/>
  <c r="D928" i="1"/>
  <c r="E928" i="1"/>
  <c r="F928" i="1"/>
  <c r="G928" i="1"/>
  <c r="A928" i="1"/>
  <c r="B928" i="1"/>
  <c r="H928" i="1"/>
  <c r="I928" i="1"/>
  <c r="D2103" i="1"/>
  <c r="E2103" i="1"/>
  <c r="F2103" i="1"/>
  <c r="G2103" i="1"/>
  <c r="A2103" i="1"/>
  <c r="B2103" i="1"/>
  <c r="H2103" i="1"/>
  <c r="I2103" i="1"/>
  <c r="D826" i="1"/>
  <c r="E826" i="1"/>
  <c r="F826" i="1"/>
  <c r="G826" i="1"/>
  <c r="A826" i="1"/>
  <c r="B826" i="1"/>
  <c r="H826" i="1"/>
  <c r="I826" i="1"/>
  <c r="D2153" i="1"/>
  <c r="E2153" i="1"/>
  <c r="F2153" i="1"/>
  <c r="G2153" i="1"/>
  <c r="A2153" i="1"/>
  <c r="B2153" i="1"/>
  <c r="H2153" i="1"/>
  <c r="I2153" i="1"/>
  <c r="D799" i="1"/>
  <c r="E799" i="1"/>
  <c r="F799" i="1"/>
  <c r="G799" i="1"/>
  <c r="A799" i="1"/>
  <c r="B799" i="1"/>
  <c r="H799" i="1"/>
  <c r="I799" i="1"/>
  <c r="D449" i="1"/>
  <c r="E449" i="1"/>
  <c r="F449" i="1"/>
  <c r="G449" i="1"/>
  <c r="A449" i="1"/>
  <c r="B449" i="1"/>
  <c r="H449" i="1"/>
  <c r="I449" i="1"/>
  <c r="D825" i="1"/>
  <c r="E825" i="1"/>
  <c r="F825" i="1"/>
  <c r="G825" i="1"/>
  <c r="A825" i="1"/>
  <c r="B825" i="1"/>
  <c r="H825" i="1"/>
  <c r="I825" i="1"/>
  <c r="D2152" i="1"/>
  <c r="E2152" i="1"/>
  <c r="F2152" i="1"/>
  <c r="G2152" i="1"/>
  <c r="A2152" i="1"/>
  <c r="B2152" i="1"/>
  <c r="H2152" i="1"/>
  <c r="I2152" i="1"/>
  <c r="D899" i="1"/>
  <c r="E899" i="1"/>
  <c r="F899" i="1"/>
  <c r="G899" i="1"/>
  <c r="A899" i="1"/>
  <c r="B899" i="1"/>
  <c r="H899" i="1"/>
  <c r="I899" i="1"/>
  <c r="D900" i="1"/>
  <c r="E900" i="1"/>
  <c r="F900" i="1"/>
  <c r="G900" i="1"/>
  <c r="A900" i="1"/>
  <c r="B900" i="1"/>
  <c r="H900" i="1"/>
  <c r="I900" i="1"/>
  <c r="D947" i="1"/>
  <c r="E947" i="1"/>
  <c r="F947" i="1"/>
  <c r="G947" i="1"/>
  <c r="A947" i="1"/>
  <c r="B947" i="1"/>
  <c r="H947" i="1"/>
  <c r="I947" i="1"/>
  <c r="D2052" i="1"/>
  <c r="E2052" i="1"/>
  <c r="F2052" i="1"/>
  <c r="G2052" i="1"/>
  <c r="A2052" i="1"/>
  <c r="B2052" i="1"/>
  <c r="H2052" i="1"/>
  <c r="I2052" i="1"/>
  <c r="D1447" i="1"/>
  <c r="E1447" i="1"/>
  <c r="F1447" i="1"/>
  <c r="G1447" i="1"/>
  <c r="A1447" i="1"/>
  <c r="B1447" i="1"/>
  <c r="H1447" i="1"/>
  <c r="I1447" i="1"/>
  <c r="D1449" i="1"/>
  <c r="E1449" i="1"/>
  <c r="F1449" i="1"/>
  <c r="G1449" i="1"/>
  <c r="A1449" i="1"/>
  <c r="B1449" i="1"/>
  <c r="H1449" i="1"/>
  <c r="I1449" i="1"/>
  <c r="D2057" i="1"/>
  <c r="E2057" i="1"/>
  <c r="F2057" i="1"/>
  <c r="G2057" i="1"/>
  <c r="A2057" i="1"/>
  <c r="B2057" i="1"/>
  <c r="H2057" i="1"/>
  <c r="I2057" i="1"/>
  <c r="D985" i="1"/>
  <c r="E985" i="1"/>
  <c r="F985" i="1"/>
  <c r="G985" i="1"/>
  <c r="A985" i="1"/>
  <c r="B985" i="1"/>
  <c r="H985" i="1"/>
  <c r="I985" i="1"/>
  <c r="D986" i="1"/>
  <c r="E986" i="1"/>
  <c r="F986" i="1"/>
  <c r="G986" i="1"/>
  <c r="A986" i="1"/>
  <c r="B986" i="1"/>
  <c r="H986" i="1"/>
  <c r="I986" i="1"/>
  <c r="D1014" i="1"/>
  <c r="E1014" i="1"/>
  <c r="F1014" i="1"/>
  <c r="G1014" i="1"/>
  <c r="A1014" i="1"/>
  <c r="B1014" i="1"/>
  <c r="H1014" i="1"/>
  <c r="I1014" i="1"/>
  <c r="D1015" i="1"/>
  <c r="E1015" i="1"/>
  <c r="F1015" i="1"/>
  <c r="G1015" i="1"/>
  <c r="A1015" i="1"/>
  <c r="B1015" i="1"/>
  <c r="H1015" i="1"/>
  <c r="I1015" i="1"/>
  <c r="D1016" i="1"/>
  <c r="E1016" i="1"/>
  <c r="F1016" i="1"/>
  <c r="G1016" i="1"/>
  <c r="A1016" i="1"/>
  <c r="B1016" i="1"/>
  <c r="H1016" i="1"/>
  <c r="I1016" i="1"/>
  <c r="D2054" i="1"/>
  <c r="E2054" i="1"/>
  <c r="F2054" i="1"/>
  <c r="G2054" i="1"/>
  <c r="A2054" i="1"/>
  <c r="B2054" i="1"/>
  <c r="H2054" i="1"/>
  <c r="I2054" i="1"/>
  <c r="D2062" i="1"/>
  <c r="E2062" i="1"/>
  <c r="F2062" i="1"/>
  <c r="G2062" i="1"/>
  <c r="A2062" i="1"/>
  <c r="B2062" i="1"/>
  <c r="H2062" i="1"/>
  <c r="I2062" i="1"/>
  <c r="D1468" i="1"/>
  <c r="E1468" i="1"/>
  <c r="F1468" i="1"/>
  <c r="G1468" i="1"/>
  <c r="A1468" i="1"/>
  <c r="B1468" i="1"/>
  <c r="H1468" i="1"/>
  <c r="I1468" i="1"/>
  <c r="D796" i="1"/>
  <c r="E796" i="1"/>
  <c r="F796" i="1"/>
  <c r="G796" i="1"/>
  <c r="A796" i="1"/>
  <c r="B796" i="1"/>
  <c r="H796" i="1"/>
  <c r="I796" i="1"/>
  <c r="D1035" i="1"/>
  <c r="E1035" i="1"/>
  <c r="F1035" i="1"/>
  <c r="G1035" i="1"/>
  <c r="A1035" i="1"/>
  <c r="B1035" i="1"/>
  <c r="H1035" i="1"/>
  <c r="I1035" i="1"/>
  <c r="D987" i="1"/>
  <c r="E987" i="1"/>
  <c r="F987" i="1"/>
  <c r="G987" i="1"/>
  <c r="A987" i="1"/>
  <c r="B987" i="1"/>
  <c r="H987" i="1"/>
  <c r="I987" i="1"/>
  <c r="D788" i="1"/>
  <c r="E788" i="1"/>
  <c r="F788" i="1"/>
  <c r="G788" i="1"/>
  <c r="A788" i="1"/>
  <c r="B788" i="1"/>
  <c r="H788" i="1"/>
  <c r="I788" i="1"/>
  <c r="D3025" i="1"/>
  <c r="E3025" i="1"/>
  <c r="F3025" i="1"/>
  <c r="G3025" i="1"/>
  <c r="A3025" i="1"/>
  <c r="B3025" i="1"/>
  <c r="H3025" i="1"/>
  <c r="I3025" i="1"/>
  <c r="D970" i="1"/>
  <c r="E970" i="1"/>
  <c r="F970" i="1"/>
  <c r="G970" i="1"/>
  <c r="A970" i="1"/>
  <c r="B970" i="1"/>
  <c r="H970" i="1"/>
  <c r="I970" i="1"/>
  <c r="D3058" i="1"/>
  <c r="E3058" i="1"/>
  <c r="F3058" i="1"/>
  <c r="G3058" i="1"/>
  <c r="A3058" i="1"/>
  <c r="B3058" i="1"/>
  <c r="H3058" i="1"/>
  <c r="I3058" i="1"/>
  <c r="D2160" i="1"/>
  <c r="E2160" i="1"/>
  <c r="F2160" i="1"/>
  <c r="G2160" i="1"/>
  <c r="A2160" i="1"/>
  <c r="B2160" i="1"/>
  <c r="H2160" i="1"/>
  <c r="I2160" i="1"/>
  <c r="D865" i="1"/>
  <c r="E865" i="1"/>
  <c r="F865" i="1"/>
  <c r="G865" i="1"/>
  <c r="A865" i="1"/>
  <c r="B865" i="1"/>
  <c r="H865" i="1"/>
  <c r="I865" i="1"/>
  <c r="D2140" i="1"/>
  <c r="E2140" i="1"/>
  <c r="F2140" i="1"/>
  <c r="G2140" i="1"/>
  <c r="A2140" i="1"/>
  <c r="B2140" i="1"/>
  <c r="H2140" i="1"/>
  <c r="I2140" i="1"/>
  <c r="D3028" i="1"/>
  <c r="E3028" i="1"/>
  <c r="F3028" i="1"/>
  <c r="G3028" i="1"/>
  <c r="A3028" i="1"/>
  <c r="B3028" i="1"/>
  <c r="H3028" i="1"/>
  <c r="I3028" i="1"/>
  <c r="D3348" i="1"/>
  <c r="E3348" i="1"/>
  <c r="F3348" i="1"/>
  <c r="G3348" i="1"/>
  <c r="A3348" i="1"/>
  <c r="B3348" i="1"/>
  <c r="H3348" i="1"/>
  <c r="I3348" i="1"/>
  <c r="D2110" i="1"/>
  <c r="E2110" i="1"/>
  <c r="F2110" i="1"/>
  <c r="G2110" i="1"/>
  <c r="A2110" i="1"/>
  <c r="B2110" i="1"/>
  <c r="H2110" i="1"/>
  <c r="I2110" i="1"/>
  <c r="D451" i="1"/>
  <c r="E451" i="1"/>
  <c r="F451" i="1"/>
  <c r="G451" i="1"/>
  <c r="A451" i="1"/>
  <c r="B451" i="1"/>
  <c r="H451" i="1"/>
  <c r="I451" i="1"/>
  <c r="D779" i="1"/>
  <c r="E779" i="1"/>
  <c r="F779" i="1"/>
  <c r="G779" i="1"/>
  <c r="A779" i="1"/>
  <c r="B779" i="1"/>
  <c r="H779" i="1"/>
  <c r="I779" i="1"/>
  <c r="D876" i="1"/>
  <c r="E876" i="1"/>
  <c r="F876" i="1"/>
  <c r="G876" i="1"/>
  <c r="A876" i="1"/>
  <c r="B876" i="1"/>
  <c r="H876" i="1"/>
  <c r="I876" i="1"/>
  <c r="D1428" i="1"/>
  <c r="E1428" i="1"/>
  <c r="F1428" i="1"/>
  <c r="G1428" i="1"/>
  <c r="A1428" i="1"/>
  <c r="B1428" i="1"/>
  <c r="H1428" i="1"/>
  <c r="I1428" i="1"/>
  <c r="D401" i="1"/>
  <c r="E401" i="1"/>
  <c r="F401" i="1"/>
  <c r="G401" i="1"/>
  <c r="A401" i="1"/>
  <c r="B401" i="1"/>
  <c r="H401" i="1"/>
  <c r="I401" i="1"/>
  <c r="D844" i="1"/>
  <c r="E844" i="1"/>
  <c r="F844" i="1"/>
  <c r="G844" i="1"/>
  <c r="A844" i="1"/>
  <c r="B844" i="1"/>
  <c r="H844" i="1"/>
  <c r="I844" i="1"/>
  <c r="D809" i="1"/>
  <c r="E809" i="1"/>
  <c r="F809" i="1"/>
  <c r="G809" i="1"/>
  <c r="A809" i="1"/>
  <c r="B809" i="1"/>
  <c r="H809" i="1"/>
  <c r="I809" i="1"/>
  <c r="D2149" i="1"/>
  <c r="E2149" i="1"/>
  <c r="F2149" i="1"/>
  <c r="G2149" i="1"/>
  <c r="A2149" i="1"/>
  <c r="B2149" i="1"/>
  <c r="H2149" i="1"/>
  <c r="I2149" i="1"/>
  <c r="D1458" i="1"/>
  <c r="E1458" i="1"/>
  <c r="F1458" i="1"/>
  <c r="G1458" i="1"/>
  <c r="A1458" i="1"/>
  <c r="B1458" i="1"/>
  <c r="H1458" i="1"/>
  <c r="I1458" i="1"/>
  <c r="D778" i="1"/>
  <c r="E778" i="1"/>
  <c r="F778" i="1"/>
  <c r="G778" i="1"/>
  <c r="A778" i="1"/>
  <c r="B778" i="1"/>
  <c r="H778" i="1"/>
  <c r="I778" i="1"/>
  <c r="D1424" i="1"/>
  <c r="E1424" i="1"/>
  <c r="F1424" i="1"/>
  <c r="G1424" i="1"/>
  <c r="A1424" i="1"/>
  <c r="B1424" i="1"/>
  <c r="H1424" i="1"/>
  <c r="I1424" i="1"/>
  <c r="D798" i="1"/>
  <c r="E798" i="1"/>
  <c r="F798" i="1"/>
  <c r="G798" i="1"/>
  <c r="A798" i="1"/>
  <c r="B798" i="1"/>
  <c r="H798" i="1"/>
  <c r="I798" i="1"/>
  <c r="D1451" i="1"/>
  <c r="E1451" i="1"/>
  <c r="F1451" i="1"/>
  <c r="G1451" i="1"/>
  <c r="A1451" i="1"/>
  <c r="B1451" i="1"/>
  <c r="H1451" i="1"/>
  <c r="I1451" i="1"/>
  <c r="D830" i="1"/>
  <c r="E830" i="1"/>
  <c r="F830" i="1"/>
  <c r="G830" i="1"/>
  <c r="A830" i="1"/>
  <c r="B830" i="1"/>
  <c r="H830" i="1"/>
  <c r="I830" i="1"/>
  <c r="D2081" i="1"/>
  <c r="E2081" i="1"/>
  <c r="F2081" i="1"/>
  <c r="G2081" i="1"/>
  <c r="A2081" i="1"/>
  <c r="B2081" i="1"/>
  <c r="H2081" i="1"/>
  <c r="I2081" i="1"/>
  <c r="D911" i="1"/>
  <c r="E911" i="1"/>
  <c r="F911" i="1"/>
  <c r="G911" i="1"/>
  <c r="A911" i="1"/>
  <c r="B911" i="1"/>
  <c r="H911" i="1"/>
  <c r="I911" i="1"/>
  <c r="D1041" i="1"/>
  <c r="E1041" i="1"/>
  <c r="F1041" i="1"/>
  <c r="G1041" i="1"/>
  <c r="A1041" i="1"/>
  <c r="B1041" i="1"/>
  <c r="H1041" i="1"/>
  <c r="I1041" i="1"/>
  <c r="D3501" i="1"/>
  <c r="E3501" i="1"/>
  <c r="F3501" i="1"/>
  <c r="G3501" i="1"/>
  <c r="A3501" i="1"/>
  <c r="B3501" i="1"/>
  <c r="H3501" i="1"/>
  <c r="I3501" i="1"/>
  <c r="D999" i="1"/>
  <c r="E999" i="1"/>
  <c r="F999" i="1"/>
  <c r="G999" i="1"/>
  <c r="A999" i="1"/>
  <c r="B999" i="1"/>
  <c r="H999" i="1"/>
  <c r="I999" i="1"/>
  <c r="D1001" i="1"/>
  <c r="E1001" i="1"/>
  <c r="F1001" i="1"/>
  <c r="G1001" i="1"/>
  <c r="A1001" i="1"/>
  <c r="B1001" i="1"/>
  <c r="H1001" i="1"/>
  <c r="I1001" i="1"/>
  <c r="D880" i="1"/>
  <c r="E880" i="1"/>
  <c r="F880" i="1"/>
  <c r="G880" i="1"/>
  <c r="A880" i="1"/>
  <c r="B880" i="1"/>
  <c r="H880" i="1"/>
  <c r="I880" i="1"/>
  <c r="D780" i="1"/>
  <c r="E780" i="1"/>
  <c r="F780" i="1"/>
  <c r="G780" i="1"/>
  <c r="A780" i="1"/>
  <c r="B780" i="1"/>
  <c r="H780" i="1"/>
  <c r="I780" i="1"/>
  <c r="D1426" i="1"/>
  <c r="E1426" i="1"/>
  <c r="F1426" i="1"/>
  <c r="G1426" i="1"/>
  <c r="A1426" i="1"/>
  <c r="B1426" i="1"/>
  <c r="H1426" i="1"/>
  <c r="I1426" i="1"/>
  <c r="D1427" i="1"/>
  <c r="E1427" i="1"/>
  <c r="F1427" i="1"/>
  <c r="G1427" i="1"/>
  <c r="A1427" i="1"/>
  <c r="B1427" i="1"/>
  <c r="H1427" i="1"/>
  <c r="I1427" i="1"/>
  <c r="D791" i="1"/>
  <c r="E791" i="1"/>
  <c r="F791" i="1"/>
  <c r="G791" i="1"/>
  <c r="A791" i="1"/>
  <c r="B791" i="1"/>
  <c r="H791" i="1"/>
  <c r="I791" i="1"/>
  <c r="D1092" i="1"/>
  <c r="E1092" i="1"/>
  <c r="F1092" i="1"/>
  <c r="G1092" i="1"/>
  <c r="A1092" i="1"/>
  <c r="B1092" i="1"/>
  <c r="H1092" i="1"/>
  <c r="I1092" i="1"/>
  <c r="D915" i="1"/>
  <c r="E915" i="1"/>
  <c r="F915" i="1"/>
  <c r="G915" i="1"/>
  <c r="A915" i="1"/>
  <c r="B915" i="1"/>
  <c r="H915" i="1"/>
  <c r="I915" i="1"/>
  <c r="D2202" i="1"/>
  <c r="E2202" i="1"/>
  <c r="F2202" i="1"/>
  <c r="G2202" i="1"/>
  <c r="A2202" i="1"/>
  <c r="B2202" i="1"/>
  <c r="H2202" i="1"/>
  <c r="I2202" i="1"/>
  <c r="D3504" i="1"/>
  <c r="E3504" i="1"/>
  <c r="F3504" i="1"/>
  <c r="G3504" i="1"/>
  <c r="A3504" i="1"/>
  <c r="B3504" i="1"/>
  <c r="H3504" i="1"/>
  <c r="I3504" i="1"/>
  <c r="D837" i="1"/>
  <c r="E837" i="1"/>
  <c r="F837" i="1"/>
  <c r="G837" i="1"/>
  <c r="A837" i="1"/>
  <c r="B837" i="1"/>
  <c r="H837" i="1"/>
  <c r="I837" i="1"/>
  <c r="D130" i="1"/>
  <c r="E130" i="1"/>
  <c r="F130" i="1"/>
  <c r="G130" i="1"/>
  <c r="A130" i="1"/>
  <c r="B130" i="1"/>
  <c r="H130" i="1"/>
  <c r="I130" i="1"/>
  <c r="D866" i="1"/>
  <c r="E866" i="1"/>
  <c r="F866" i="1"/>
  <c r="G866" i="1"/>
  <c r="A866" i="1"/>
  <c r="B866" i="1"/>
  <c r="H866" i="1"/>
  <c r="I866" i="1"/>
  <c r="D790" i="1"/>
  <c r="E790" i="1"/>
  <c r="F790" i="1"/>
  <c r="G790" i="1"/>
  <c r="A790" i="1"/>
  <c r="B790" i="1"/>
  <c r="H790" i="1"/>
  <c r="I790" i="1"/>
  <c r="D878" i="1"/>
  <c r="E878" i="1"/>
  <c r="F878" i="1"/>
  <c r="G878" i="1"/>
  <c r="A878" i="1"/>
  <c r="B878" i="1"/>
  <c r="H878" i="1"/>
  <c r="I878" i="1"/>
  <c r="D3349" i="1"/>
  <c r="E3349" i="1"/>
  <c r="F3349" i="1"/>
  <c r="G3349" i="1"/>
  <c r="A3349" i="1"/>
  <c r="B3349" i="1"/>
  <c r="H3349" i="1"/>
  <c r="I3349" i="1"/>
  <c r="D2164" i="1"/>
  <c r="E2164" i="1"/>
  <c r="F2164" i="1"/>
  <c r="G2164" i="1"/>
  <c r="A2164" i="1"/>
  <c r="B2164" i="1"/>
  <c r="H2164" i="1"/>
  <c r="I2164" i="1"/>
  <c r="D1024" i="1"/>
  <c r="E1024" i="1"/>
  <c r="F1024" i="1"/>
  <c r="G1024" i="1"/>
  <c r="A1024" i="1"/>
  <c r="B1024" i="1"/>
  <c r="H1024" i="1"/>
  <c r="I1024" i="1"/>
  <c r="D1429" i="1"/>
  <c r="E1429" i="1"/>
  <c r="F1429" i="1"/>
  <c r="G1429" i="1"/>
  <c r="A1429" i="1"/>
  <c r="B1429" i="1"/>
  <c r="H1429" i="1"/>
  <c r="I1429" i="1"/>
  <c r="D797" i="1"/>
  <c r="E797" i="1"/>
  <c r="F797" i="1"/>
  <c r="G797" i="1"/>
  <c r="A797" i="1"/>
  <c r="B797" i="1"/>
  <c r="H797" i="1"/>
  <c r="I797" i="1"/>
  <c r="D411" i="1"/>
  <c r="E411" i="1"/>
  <c r="F411" i="1"/>
  <c r="G411" i="1"/>
  <c r="A411" i="1"/>
  <c r="B411" i="1"/>
  <c r="H411" i="1"/>
  <c r="I411" i="1"/>
  <c r="D2163" i="1"/>
  <c r="E2163" i="1"/>
  <c r="F2163" i="1"/>
  <c r="G2163" i="1"/>
  <c r="A2163" i="1"/>
  <c r="B2163" i="1"/>
  <c r="H2163" i="1"/>
  <c r="I2163" i="1"/>
  <c r="D3135" i="1"/>
  <c r="E3135" i="1"/>
  <c r="F3135" i="1"/>
  <c r="G3135" i="1"/>
  <c r="A3135" i="1"/>
  <c r="B3135" i="1"/>
  <c r="H3135" i="1"/>
  <c r="I3135" i="1"/>
  <c r="D3230" i="1"/>
  <c r="E3230" i="1"/>
  <c r="F3230" i="1"/>
  <c r="G3230" i="1"/>
  <c r="A3230" i="1"/>
  <c r="B3230" i="1"/>
  <c r="H3230" i="1"/>
  <c r="I3230" i="1"/>
  <c r="D408" i="1"/>
  <c r="E408" i="1"/>
  <c r="F408" i="1"/>
  <c r="G408" i="1"/>
  <c r="A408" i="1"/>
  <c r="B408" i="1"/>
  <c r="H408" i="1"/>
  <c r="I408" i="1"/>
  <c r="D912" i="1"/>
  <c r="E912" i="1"/>
  <c r="F912" i="1"/>
  <c r="G912" i="1"/>
  <c r="A912" i="1"/>
  <c r="B912" i="1"/>
  <c r="H912" i="1"/>
  <c r="I912" i="1"/>
  <c r="D1095" i="1"/>
  <c r="E1095" i="1"/>
  <c r="F1095" i="1"/>
  <c r="G1095" i="1"/>
  <c r="A1095" i="1"/>
  <c r="B1095" i="1"/>
  <c r="H1095" i="1"/>
  <c r="I1095" i="1"/>
  <c r="D3126" i="1"/>
  <c r="E3126" i="1"/>
  <c r="F3126" i="1"/>
  <c r="G3126" i="1"/>
  <c r="A3126" i="1"/>
  <c r="B3126" i="1"/>
  <c r="H3126" i="1"/>
  <c r="I3126" i="1"/>
  <c r="D841" i="1"/>
  <c r="E841" i="1"/>
  <c r="F841" i="1"/>
  <c r="G841" i="1"/>
  <c r="A841" i="1"/>
  <c r="B841" i="1"/>
  <c r="H841" i="1"/>
  <c r="I841" i="1"/>
  <c r="D1438" i="1"/>
  <c r="E1438" i="1"/>
  <c r="F1438" i="1"/>
  <c r="G1438" i="1"/>
  <c r="A1438" i="1"/>
  <c r="B1438" i="1"/>
  <c r="H1438" i="1"/>
  <c r="I1438" i="1"/>
  <c r="D964" i="1"/>
  <c r="E964" i="1"/>
  <c r="F964" i="1"/>
  <c r="G964" i="1"/>
  <c r="A964" i="1"/>
  <c r="B964" i="1"/>
  <c r="H964" i="1"/>
  <c r="I964" i="1"/>
  <c r="D3128" i="1"/>
  <c r="E3128" i="1"/>
  <c r="F3128" i="1"/>
  <c r="G3128" i="1"/>
  <c r="A3128" i="1"/>
  <c r="B3128" i="1"/>
  <c r="H3128" i="1"/>
  <c r="I3128" i="1"/>
  <c r="D461" i="1"/>
  <c r="E461" i="1"/>
  <c r="F461" i="1"/>
  <c r="G461" i="1"/>
  <c r="A461" i="1"/>
  <c r="B461" i="1"/>
  <c r="H461" i="1"/>
  <c r="I461" i="1"/>
  <c r="D960" i="1"/>
  <c r="E960" i="1"/>
  <c r="F960" i="1"/>
  <c r="G960" i="1"/>
  <c r="A960" i="1"/>
  <c r="B960" i="1"/>
  <c r="H960" i="1"/>
  <c r="I960" i="1"/>
  <c r="D997" i="1"/>
  <c r="E997" i="1"/>
  <c r="F997" i="1"/>
  <c r="G997" i="1"/>
  <c r="A997" i="1"/>
  <c r="B997" i="1"/>
  <c r="H997" i="1"/>
  <c r="I997" i="1"/>
  <c r="D1007" i="1"/>
  <c r="E1007" i="1"/>
  <c r="F1007" i="1"/>
  <c r="G1007" i="1"/>
  <c r="A1007" i="1"/>
  <c r="B1007" i="1"/>
  <c r="H1007" i="1"/>
  <c r="I1007" i="1"/>
  <c r="D794" i="1"/>
  <c r="E794" i="1"/>
  <c r="F794" i="1"/>
  <c r="G794" i="1"/>
  <c r="A794" i="1"/>
  <c r="B794" i="1"/>
  <c r="H794" i="1"/>
  <c r="I794" i="1"/>
  <c r="D917" i="1"/>
  <c r="E917" i="1"/>
  <c r="F917" i="1"/>
  <c r="G917" i="1"/>
  <c r="A917" i="1"/>
  <c r="B917" i="1"/>
  <c r="H917" i="1"/>
  <c r="I917" i="1"/>
  <c r="D792" i="1"/>
  <c r="E792" i="1"/>
  <c r="F792" i="1"/>
  <c r="G792" i="1"/>
  <c r="A792" i="1"/>
  <c r="B792" i="1"/>
  <c r="H792" i="1"/>
  <c r="I792" i="1"/>
  <c r="D3347" i="1"/>
  <c r="E3347" i="1"/>
  <c r="F3347" i="1"/>
  <c r="G3347" i="1"/>
  <c r="A3347" i="1"/>
  <c r="B3347" i="1"/>
  <c r="H3347" i="1"/>
  <c r="I3347" i="1"/>
  <c r="D852" i="1"/>
  <c r="E852" i="1"/>
  <c r="F852" i="1"/>
  <c r="G852" i="1"/>
  <c r="A852" i="1"/>
  <c r="B852" i="1"/>
  <c r="H852" i="1"/>
  <c r="I852" i="1"/>
  <c r="D2124" i="1"/>
  <c r="E2124" i="1"/>
  <c r="F2124" i="1"/>
  <c r="G2124" i="1"/>
  <c r="A2124" i="1"/>
  <c r="B2124" i="1"/>
  <c r="H2124" i="1"/>
  <c r="I2124" i="1"/>
  <c r="D939" i="1"/>
  <c r="E939" i="1"/>
  <c r="F939" i="1"/>
  <c r="G939" i="1"/>
  <c r="A939" i="1"/>
  <c r="B939" i="1"/>
  <c r="H939" i="1"/>
  <c r="I939" i="1"/>
  <c r="D940" i="1"/>
  <c r="E940" i="1"/>
  <c r="F940" i="1"/>
  <c r="G940" i="1"/>
  <c r="A940" i="1"/>
  <c r="B940" i="1"/>
  <c r="H940" i="1"/>
  <c r="I940" i="1"/>
  <c r="D1037" i="1"/>
  <c r="E1037" i="1"/>
  <c r="F1037" i="1"/>
  <c r="G1037" i="1"/>
  <c r="A1037" i="1"/>
  <c r="B1037" i="1"/>
  <c r="H1037" i="1"/>
  <c r="I1037" i="1"/>
  <c r="D789" i="1"/>
  <c r="E789" i="1"/>
  <c r="F789" i="1"/>
  <c r="G789" i="1"/>
  <c r="A789" i="1"/>
  <c r="B789" i="1"/>
  <c r="H789" i="1"/>
  <c r="I789" i="1"/>
  <c r="D805" i="1"/>
  <c r="E805" i="1"/>
  <c r="F805" i="1"/>
  <c r="G805" i="1"/>
  <c r="A805" i="1"/>
  <c r="B805" i="1"/>
  <c r="H805" i="1"/>
  <c r="I805" i="1"/>
  <c r="D806" i="1"/>
  <c r="E806" i="1"/>
  <c r="F806" i="1"/>
  <c r="G806" i="1"/>
  <c r="A806" i="1"/>
  <c r="B806" i="1"/>
  <c r="H806" i="1"/>
  <c r="I806" i="1"/>
  <c r="D853" i="1"/>
  <c r="E853" i="1"/>
  <c r="F853" i="1"/>
  <c r="G853" i="1"/>
  <c r="A853" i="1"/>
  <c r="B853" i="1"/>
  <c r="H853" i="1"/>
  <c r="I853" i="1"/>
  <c r="D803" i="1"/>
  <c r="E803" i="1"/>
  <c r="F803" i="1"/>
  <c r="G803" i="1"/>
  <c r="A803" i="1"/>
  <c r="B803" i="1"/>
  <c r="H803" i="1"/>
  <c r="I803" i="1"/>
  <c r="D953" i="1"/>
  <c r="E953" i="1"/>
  <c r="F953" i="1"/>
  <c r="G953" i="1"/>
  <c r="A953" i="1"/>
  <c r="B953" i="1"/>
  <c r="H953" i="1"/>
  <c r="I953" i="1"/>
  <c r="D945" i="1"/>
  <c r="E945" i="1"/>
  <c r="F945" i="1"/>
  <c r="G945" i="1"/>
  <c r="A945" i="1"/>
  <c r="B945" i="1"/>
  <c r="H945" i="1"/>
  <c r="I945" i="1"/>
  <c r="D971" i="1"/>
  <c r="E971" i="1"/>
  <c r="F971" i="1"/>
  <c r="G971" i="1"/>
  <c r="A971" i="1"/>
  <c r="B971" i="1"/>
  <c r="H971" i="1"/>
  <c r="I971" i="1"/>
  <c r="D972" i="1"/>
  <c r="E972" i="1"/>
  <c r="F972" i="1"/>
  <c r="G972" i="1"/>
  <c r="A972" i="1"/>
  <c r="B972" i="1"/>
  <c r="H972" i="1"/>
  <c r="I972" i="1"/>
  <c r="D1040" i="1"/>
  <c r="E1040" i="1"/>
  <c r="F1040" i="1"/>
  <c r="G1040" i="1"/>
  <c r="A1040" i="1"/>
  <c r="B1040" i="1"/>
  <c r="H1040" i="1"/>
  <c r="I1040" i="1"/>
  <c r="D1098" i="1"/>
  <c r="E1098" i="1"/>
  <c r="F1098" i="1"/>
  <c r="G1098" i="1"/>
  <c r="A1098" i="1"/>
  <c r="B1098" i="1"/>
  <c r="H1098" i="1"/>
  <c r="I1098" i="1"/>
  <c r="D925" i="1"/>
  <c r="E925" i="1"/>
  <c r="F925" i="1"/>
  <c r="G925" i="1"/>
  <c r="A925" i="1"/>
  <c r="B925" i="1"/>
  <c r="H925" i="1"/>
  <c r="I925" i="1"/>
  <c r="D995" i="1"/>
  <c r="E995" i="1"/>
  <c r="F995" i="1"/>
  <c r="G995" i="1"/>
  <c r="A995" i="1"/>
  <c r="B995" i="1"/>
  <c r="H995" i="1"/>
  <c r="I995" i="1"/>
  <c r="D784" i="1"/>
  <c r="E784" i="1"/>
  <c r="F784" i="1"/>
  <c r="G784" i="1"/>
  <c r="A784" i="1"/>
  <c r="B784" i="1"/>
  <c r="H784" i="1"/>
  <c r="I784" i="1"/>
  <c r="D1008" i="1"/>
  <c r="E1008" i="1"/>
  <c r="F1008" i="1"/>
  <c r="G1008" i="1"/>
  <c r="A1008" i="1"/>
  <c r="B1008" i="1"/>
  <c r="H1008" i="1"/>
  <c r="I1008" i="1"/>
  <c r="D1009" i="1"/>
  <c r="E1009" i="1"/>
  <c r="F1009" i="1"/>
  <c r="G1009" i="1"/>
  <c r="A1009" i="1"/>
  <c r="B1009" i="1"/>
  <c r="H1009" i="1"/>
  <c r="I1009" i="1"/>
  <c r="D419" i="1"/>
  <c r="E419" i="1"/>
  <c r="F419" i="1"/>
  <c r="G419" i="1"/>
  <c r="A419" i="1"/>
  <c r="B419" i="1"/>
  <c r="H419" i="1"/>
  <c r="I419" i="1"/>
  <c r="D965" i="1"/>
  <c r="E965" i="1"/>
  <c r="F965" i="1"/>
  <c r="G965" i="1"/>
  <c r="A965" i="1"/>
  <c r="B965" i="1"/>
  <c r="H965" i="1"/>
  <c r="I965" i="1"/>
  <c r="D822" i="1"/>
  <c r="E822" i="1"/>
  <c r="F822" i="1"/>
  <c r="G822" i="1"/>
  <c r="A822" i="1"/>
  <c r="B822" i="1"/>
  <c r="H822" i="1"/>
  <c r="I822" i="1"/>
  <c r="D2150" i="1"/>
  <c r="E2150" i="1"/>
  <c r="F2150" i="1"/>
  <c r="G2150" i="1"/>
  <c r="A2150" i="1"/>
  <c r="B2150" i="1"/>
  <c r="H2150" i="1"/>
  <c r="I2150" i="1"/>
  <c r="D867" i="1"/>
  <c r="E867" i="1"/>
  <c r="F867" i="1"/>
  <c r="G867" i="1"/>
  <c r="A867" i="1"/>
  <c r="B867" i="1"/>
  <c r="H867" i="1"/>
  <c r="I867" i="1"/>
  <c r="D1443" i="1"/>
  <c r="E1443" i="1"/>
  <c r="F1443" i="1"/>
  <c r="G1443" i="1"/>
  <c r="A1443" i="1"/>
  <c r="B1443" i="1"/>
  <c r="H1443" i="1"/>
  <c r="I1443" i="1"/>
  <c r="D914" i="1"/>
  <c r="E914" i="1"/>
  <c r="F914" i="1"/>
  <c r="G914" i="1"/>
  <c r="A914" i="1"/>
  <c r="B914" i="1"/>
  <c r="H914" i="1"/>
  <c r="I914" i="1"/>
  <c r="D948" i="1"/>
  <c r="E948" i="1"/>
  <c r="F948" i="1"/>
  <c r="G948" i="1"/>
  <c r="A948" i="1"/>
  <c r="B948" i="1"/>
  <c r="H948" i="1"/>
  <c r="I948" i="1"/>
  <c r="D793" i="1"/>
  <c r="E793" i="1"/>
  <c r="F793" i="1"/>
  <c r="G793" i="1"/>
  <c r="A793" i="1"/>
  <c r="B793" i="1"/>
  <c r="H793" i="1"/>
  <c r="I793" i="1"/>
  <c r="D848" i="1"/>
  <c r="E848" i="1"/>
  <c r="F848" i="1"/>
  <c r="G848" i="1"/>
  <c r="A848" i="1"/>
  <c r="B848" i="1"/>
  <c r="H848" i="1"/>
  <c r="I848" i="1"/>
  <c r="D935" i="1"/>
  <c r="E935" i="1"/>
  <c r="F935" i="1"/>
  <c r="G935" i="1"/>
  <c r="A935" i="1"/>
  <c r="B935" i="1"/>
  <c r="H935" i="1"/>
  <c r="I935" i="1"/>
  <c r="D1010" i="1"/>
  <c r="E1010" i="1"/>
  <c r="F1010" i="1"/>
  <c r="G1010" i="1"/>
  <c r="A1010" i="1"/>
  <c r="B1010" i="1"/>
  <c r="H1010" i="1"/>
  <c r="I1010" i="1"/>
  <c r="D992" i="1"/>
  <c r="E992" i="1"/>
  <c r="F992" i="1"/>
  <c r="G992" i="1"/>
  <c r="A992" i="1"/>
  <c r="B992" i="1"/>
  <c r="H992" i="1"/>
  <c r="I992" i="1"/>
  <c r="D2134" i="1"/>
  <c r="E2134" i="1"/>
  <c r="F2134" i="1"/>
  <c r="G2134" i="1"/>
  <c r="A2134" i="1"/>
  <c r="B2134" i="1"/>
  <c r="H2134" i="1"/>
  <c r="I2134" i="1"/>
  <c r="D950" i="1"/>
  <c r="E950" i="1"/>
  <c r="F950" i="1"/>
  <c r="G950" i="1"/>
  <c r="A950" i="1"/>
  <c r="B950" i="1"/>
  <c r="H950" i="1"/>
  <c r="I950" i="1"/>
  <c r="D2120" i="1"/>
  <c r="E2120" i="1"/>
  <c r="F2120" i="1"/>
  <c r="G2120" i="1"/>
  <c r="A2120" i="1"/>
  <c r="B2120" i="1"/>
  <c r="H2120" i="1"/>
  <c r="I2120" i="1"/>
  <c r="D891" i="1"/>
  <c r="E891" i="1"/>
  <c r="F891" i="1"/>
  <c r="G891" i="1"/>
  <c r="A891" i="1"/>
  <c r="B891" i="1"/>
  <c r="H891" i="1"/>
  <c r="I891" i="1"/>
  <c r="D984" i="1"/>
  <c r="E984" i="1"/>
  <c r="F984" i="1"/>
  <c r="G984" i="1"/>
  <c r="A984" i="1"/>
  <c r="B984" i="1"/>
  <c r="H984" i="1"/>
  <c r="I984" i="1"/>
  <c r="D2077" i="1"/>
  <c r="E2077" i="1"/>
  <c r="F2077" i="1"/>
  <c r="G2077" i="1"/>
  <c r="A2077" i="1"/>
  <c r="B2077" i="1"/>
  <c r="H2077" i="1"/>
  <c r="I2077" i="1"/>
  <c r="D949" i="1"/>
  <c r="E949" i="1"/>
  <c r="F949" i="1"/>
  <c r="G949" i="1"/>
  <c r="A949" i="1"/>
  <c r="B949" i="1"/>
  <c r="H949" i="1"/>
  <c r="I949" i="1"/>
  <c r="D2066" i="1"/>
  <c r="E2066" i="1"/>
  <c r="F2066" i="1"/>
  <c r="G2066" i="1"/>
  <c r="A2066" i="1"/>
  <c r="B2066" i="1"/>
  <c r="H2066" i="1"/>
  <c r="I2066" i="1"/>
  <c r="D922" i="1"/>
  <c r="E922" i="1"/>
  <c r="F922" i="1"/>
  <c r="G922" i="1"/>
  <c r="A922" i="1"/>
  <c r="B922" i="1"/>
  <c r="H922" i="1"/>
  <c r="I922" i="1"/>
  <c r="D3363" i="1"/>
  <c r="E3363" i="1"/>
  <c r="F3363" i="1"/>
  <c r="G3363" i="1"/>
  <c r="A3363" i="1"/>
  <c r="B3363" i="1"/>
  <c r="H3363" i="1"/>
  <c r="I3363" i="1"/>
  <c r="D932" i="1"/>
  <c r="E932" i="1"/>
  <c r="F932" i="1"/>
  <c r="G932" i="1"/>
  <c r="A932" i="1"/>
  <c r="B932" i="1"/>
  <c r="H932" i="1"/>
  <c r="I932" i="1"/>
  <c r="D421" i="1"/>
  <c r="E421" i="1"/>
  <c r="F421" i="1"/>
  <c r="G421" i="1"/>
  <c r="A421" i="1"/>
  <c r="B421" i="1"/>
  <c r="H421" i="1"/>
  <c r="I421" i="1"/>
  <c r="D1099" i="1"/>
  <c r="E1099" i="1"/>
  <c r="F1099" i="1"/>
  <c r="G1099" i="1"/>
  <c r="A1099" i="1"/>
  <c r="B1099" i="1"/>
  <c r="H1099" i="1"/>
  <c r="I1099" i="1"/>
  <c r="D974" i="1"/>
  <c r="E974" i="1"/>
  <c r="F974" i="1"/>
  <c r="G974" i="1"/>
  <c r="A974" i="1"/>
  <c r="B974" i="1"/>
  <c r="H974" i="1"/>
  <c r="I974" i="1"/>
  <c r="D1437" i="1"/>
  <c r="E1437" i="1"/>
  <c r="F1437" i="1"/>
  <c r="G1437" i="1"/>
  <c r="A1437" i="1"/>
  <c r="B1437" i="1"/>
  <c r="H1437" i="1"/>
  <c r="I1437" i="1"/>
  <c r="D2088" i="1"/>
  <c r="E2088" i="1"/>
  <c r="F2088" i="1"/>
  <c r="G2088" i="1"/>
  <c r="A2088" i="1"/>
  <c r="B2088" i="1"/>
  <c r="H2088" i="1"/>
  <c r="I2088" i="1"/>
  <c r="D820" i="1"/>
  <c r="E820" i="1"/>
  <c r="F820" i="1"/>
  <c r="G820" i="1"/>
  <c r="A820" i="1"/>
  <c r="B820" i="1"/>
  <c r="H820" i="1"/>
  <c r="I820" i="1"/>
  <c r="D453" i="1"/>
  <c r="E453" i="1"/>
  <c r="F453" i="1"/>
  <c r="G453" i="1"/>
  <c r="A453" i="1"/>
  <c r="B453" i="1"/>
  <c r="H453" i="1"/>
  <c r="I453" i="1"/>
  <c r="D821" i="1"/>
  <c r="E821" i="1"/>
  <c r="F821" i="1"/>
  <c r="G821" i="1"/>
  <c r="A821" i="1"/>
  <c r="B821" i="1"/>
  <c r="H821" i="1"/>
  <c r="I821" i="1"/>
  <c r="D2307" i="1"/>
  <c r="E2307" i="1"/>
  <c r="F2307" i="1"/>
  <c r="G2307" i="1"/>
  <c r="A2307" i="1"/>
  <c r="B2307" i="1"/>
  <c r="H2307" i="1"/>
  <c r="I2307" i="1"/>
  <c r="D2079" i="1"/>
  <c r="E2079" i="1"/>
  <c r="F2079" i="1"/>
  <c r="G2079" i="1"/>
  <c r="A2079" i="1"/>
  <c r="B2079" i="1"/>
  <c r="H2079" i="1"/>
  <c r="I2079" i="1"/>
  <c r="D861" i="1"/>
  <c r="E861" i="1"/>
  <c r="F861" i="1"/>
  <c r="G861" i="1"/>
  <c r="A861" i="1"/>
  <c r="B861" i="1"/>
  <c r="H861" i="1"/>
  <c r="I861" i="1"/>
  <c r="D1461" i="1"/>
  <c r="E1461" i="1"/>
  <c r="F1461" i="1"/>
  <c r="G1461" i="1"/>
  <c r="A1461" i="1"/>
  <c r="B1461" i="1"/>
  <c r="H1461" i="1"/>
  <c r="I1461" i="1"/>
  <c r="D1454" i="1"/>
  <c r="E1454" i="1"/>
  <c r="F1454" i="1"/>
  <c r="G1454" i="1"/>
  <c r="A1454" i="1"/>
  <c r="B1454" i="1"/>
  <c r="H1454" i="1"/>
  <c r="I1454" i="1"/>
  <c r="D927" i="1"/>
  <c r="E927" i="1"/>
  <c r="F927" i="1"/>
  <c r="G927" i="1"/>
  <c r="A927" i="1"/>
  <c r="B927" i="1"/>
  <c r="H927" i="1"/>
  <c r="I927" i="1"/>
  <c r="D812" i="1"/>
  <c r="E812" i="1"/>
  <c r="F812" i="1"/>
  <c r="G812" i="1"/>
  <c r="A812" i="1"/>
  <c r="B812" i="1"/>
  <c r="H812" i="1"/>
  <c r="I812" i="1"/>
  <c r="D2156" i="1"/>
  <c r="E2156" i="1"/>
  <c r="F2156" i="1"/>
  <c r="G2156" i="1"/>
  <c r="A2156" i="1"/>
  <c r="B2156" i="1"/>
  <c r="H2156" i="1"/>
  <c r="I2156" i="1"/>
  <c r="D843" i="1"/>
  <c r="E843" i="1"/>
  <c r="F843" i="1"/>
  <c r="G843" i="1"/>
  <c r="A843" i="1"/>
  <c r="B843" i="1"/>
  <c r="H843" i="1"/>
  <c r="I843" i="1"/>
  <c r="D1439" i="1"/>
  <c r="E1439" i="1"/>
  <c r="F1439" i="1"/>
  <c r="G1439" i="1"/>
  <c r="A1439" i="1"/>
  <c r="B1439" i="1"/>
  <c r="H1439" i="1"/>
  <c r="I1439" i="1"/>
  <c r="D944" i="1"/>
  <c r="E944" i="1"/>
  <c r="F944" i="1"/>
  <c r="G944" i="1"/>
  <c r="A944" i="1"/>
  <c r="B944" i="1"/>
  <c r="H944" i="1"/>
  <c r="I944" i="1"/>
  <c r="D2154" i="1"/>
  <c r="E2154" i="1"/>
  <c r="F2154" i="1"/>
  <c r="G2154" i="1"/>
  <c r="A2154" i="1"/>
  <c r="B2154" i="1"/>
  <c r="H2154" i="1"/>
  <c r="I2154" i="1"/>
  <c r="D831" i="1"/>
  <c r="E831" i="1"/>
  <c r="F831" i="1"/>
  <c r="G831" i="1"/>
  <c r="A831" i="1"/>
  <c r="B831" i="1"/>
  <c r="H831" i="1"/>
  <c r="I831" i="1"/>
  <c r="D452" i="1"/>
  <c r="E452" i="1"/>
  <c r="F452" i="1"/>
  <c r="G452" i="1"/>
  <c r="A452" i="1"/>
  <c r="B452" i="1"/>
  <c r="H452" i="1"/>
  <c r="I452" i="1"/>
  <c r="D2105" i="1"/>
  <c r="E2105" i="1"/>
  <c r="F2105" i="1"/>
  <c r="G2105" i="1"/>
  <c r="A2105" i="1"/>
  <c r="B2105" i="1"/>
  <c r="H2105" i="1"/>
  <c r="I2105" i="1"/>
  <c r="D1019" i="1"/>
  <c r="E1019" i="1"/>
  <c r="F1019" i="1"/>
  <c r="G1019" i="1"/>
  <c r="A1019" i="1"/>
  <c r="B1019" i="1"/>
  <c r="H1019" i="1"/>
  <c r="I1019" i="1"/>
  <c r="D1442" i="1"/>
  <c r="E1442" i="1"/>
  <c r="F1442" i="1"/>
  <c r="G1442" i="1"/>
  <c r="A1442" i="1"/>
  <c r="B1442" i="1"/>
  <c r="H1442" i="1"/>
  <c r="I1442" i="1"/>
  <c r="D1463" i="1"/>
  <c r="E1463" i="1"/>
  <c r="F1463" i="1"/>
  <c r="G1463" i="1"/>
  <c r="A1463" i="1"/>
  <c r="B1463" i="1"/>
  <c r="H1463" i="1"/>
  <c r="I1463" i="1"/>
  <c r="D2132" i="1"/>
  <c r="E2132" i="1"/>
  <c r="F2132" i="1"/>
  <c r="G2132" i="1"/>
  <c r="A2132" i="1"/>
  <c r="B2132" i="1"/>
  <c r="H2132" i="1"/>
  <c r="I2132" i="1"/>
  <c r="D1094" i="1"/>
  <c r="E1094" i="1"/>
  <c r="F1094" i="1"/>
  <c r="G1094" i="1"/>
  <c r="A1094" i="1"/>
  <c r="B1094" i="1"/>
  <c r="H1094" i="1"/>
  <c r="I1094" i="1"/>
  <c r="D2157" i="1"/>
  <c r="E2157" i="1"/>
  <c r="F2157" i="1"/>
  <c r="G2157" i="1"/>
  <c r="A2157" i="1"/>
  <c r="B2157" i="1"/>
  <c r="H2157" i="1"/>
  <c r="I2157" i="1"/>
  <c r="D850" i="1"/>
  <c r="E850" i="1"/>
  <c r="F850" i="1"/>
  <c r="G850" i="1"/>
  <c r="A850" i="1"/>
  <c r="B850" i="1"/>
  <c r="H850" i="1"/>
  <c r="I850" i="1"/>
  <c r="D1452" i="1"/>
  <c r="E1452" i="1"/>
  <c r="F1452" i="1"/>
  <c r="G1452" i="1"/>
  <c r="A1452" i="1"/>
  <c r="B1452" i="1"/>
  <c r="H1452" i="1"/>
  <c r="I1452" i="1"/>
  <c r="D2053" i="1"/>
  <c r="E2053" i="1"/>
  <c r="F2053" i="1"/>
  <c r="G2053" i="1"/>
  <c r="A2053" i="1"/>
  <c r="B2053" i="1"/>
  <c r="H2053" i="1"/>
  <c r="I2053" i="1"/>
  <c r="D2082" i="1"/>
  <c r="E2082" i="1"/>
  <c r="F2082" i="1"/>
  <c r="G2082" i="1"/>
  <c r="A2082" i="1"/>
  <c r="B2082" i="1"/>
  <c r="H2082" i="1"/>
  <c r="I2082" i="1"/>
  <c r="D403" i="1"/>
  <c r="E403" i="1"/>
  <c r="F403" i="1"/>
  <c r="G403" i="1"/>
  <c r="A403" i="1"/>
  <c r="B403" i="1"/>
  <c r="H403" i="1"/>
  <c r="I403" i="1"/>
  <c r="D836" i="1"/>
  <c r="E836" i="1"/>
  <c r="F836" i="1"/>
  <c r="G836" i="1"/>
  <c r="A836" i="1"/>
  <c r="B836" i="1"/>
  <c r="H836" i="1"/>
  <c r="I836" i="1"/>
  <c r="D952" i="1"/>
  <c r="E952" i="1"/>
  <c r="F952" i="1"/>
  <c r="G952" i="1"/>
  <c r="A952" i="1"/>
  <c r="B952" i="1"/>
  <c r="H952" i="1"/>
  <c r="I952" i="1"/>
  <c r="D1018" i="1"/>
  <c r="E1018" i="1"/>
  <c r="F1018" i="1"/>
  <c r="G1018" i="1"/>
  <c r="A1018" i="1"/>
  <c r="B1018" i="1"/>
  <c r="H1018" i="1"/>
  <c r="I1018" i="1"/>
  <c r="D838" i="1"/>
  <c r="E838" i="1"/>
  <c r="F838" i="1"/>
  <c r="G838" i="1"/>
  <c r="A838" i="1"/>
  <c r="B838" i="1"/>
  <c r="H838" i="1"/>
  <c r="I838" i="1"/>
  <c r="D976" i="1"/>
  <c r="E976" i="1"/>
  <c r="F976" i="1"/>
  <c r="G976" i="1"/>
  <c r="A976" i="1"/>
  <c r="B976" i="1"/>
  <c r="H976" i="1"/>
  <c r="I976" i="1"/>
  <c r="D1012" i="1"/>
  <c r="E1012" i="1"/>
  <c r="F1012" i="1"/>
  <c r="G1012" i="1"/>
  <c r="A1012" i="1"/>
  <c r="B1012" i="1"/>
  <c r="H1012" i="1"/>
  <c r="I1012" i="1"/>
  <c r="D1017" i="1"/>
  <c r="E1017" i="1"/>
  <c r="F1017" i="1"/>
  <c r="G1017" i="1"/>
  <c r="A1017" i="1"/>
  <c r="B1017" i="1"/>
  <c r="H1017" i="1"/>
  <c r="I1017" i="1"/>
  <c r="D1022" i="1"/>
  <c r="E1022" i="1"/>
  <c r="F1022" i="1"/>
  <c r="G1022" i="1"/>
  <c r="A1022" i="1"/>
  <c r="B1022" i="1"/>
  <c r="H1022" i="1"/>
  <c r="I1022" i="1"/>
  <c r="D3502" i="1"/>
  <c r="E3502" i="1"/>
  <c r="F3502" i="1"/>
  <c r="G3502" i="1"/>
  <c r="A3502" i="1"/>
  <c r="B3502" i="1"/>
  <c r="H3502" i="1"/>
  <c r="I3502" i="1"/>
  <c r="D993" i="1"/>
  <c r="E993" i="1"/>
  <c r="F993" i="1"/>
  <c r="G993" i="1"/>
  <c r="A993" i="1"/>
  <c r="B993" i="1"/>
  <c r="H993" i="1"/>
  <c r="I993" i="1"/>
  <c r="D994" i="1"/>
  <c r="E994" i="1"/>
  <c r="F994" i="1"/>
  <c r="G994" i="1"/>
  <c r="A994" i="1"/>
  <c r="B994" i="1"/>
  <c r="H994" i="1"/>
  <c r="I994" i="1"/>
  <c r="D2135" i="1"/>
  <c r="E2135" i="1"/>
  <c r="F2135" i="1"/>
  <c r="G2135" i="1"/>
  <c r="A2135" i="1"/>
  <c r="B2135" i="1"/>
  <c r="H2135" i="1"/>
  <c r="I2135" i="1"/>
  <c r="D921" i="1"/>
  <c r="E921" i="1"/>
  <c r="F921" i="1"/>
  <c r="G921" i="1"/>
  <c r="A921" i="1"/>
  <c r="B921" i="1"/>
  <c r="H921" i="1"/>
  <c r="I921" i="1"/>
  <c r="D2106" i="1"/>
  <c r="E2106" i="1"/>
  <c r="F2106" i="1"/>
  <c r="G2106" i="1"/>
  <c r="A2106" i="1"/>
  <c r="B2106" i="1"/>
  <c r="H2106" i="1"/>
  <c r="I2106" i="1"/>
  <c r="D996" i="1"/>
  <c r="E996" i="1"/>
  <c r="F996" i="1"/>
  <c r="G996" i="1"/>
  <c r="A996" i="1"/>
  <c r="B996" i="1"/>
  <c r="H996" i="1"/>
  <c r="I996" i="1"/>
  <c r="D869" i="1"/>
  <c r="E869" i="1"/>
  <c r="F869" i="1"/>
  <c r="G869" i="1"/>
  <c r="A869" i="1"/>
  <c r="B869" i="1"/>
  <c r="H869" i="1"/>
  <c r="I869" i="1"/>
  <c r="D2139" i="1"/>
  <c r="E2139" i="1"/>
  <c r="F2139" i="1"/>
  <c r="G2139" i="1"/>
  <c r="A2139" i="1"/>
  <c r="B2139" i="1"/>
  <c r="H2139" i="1"/>
  <c r="I2139" i="1"/>
  <c r="D833" i="1"/>
  <c r="E833" i="1"/>
  <c r="F833" i="1"/>
  <c r="G833" i="1"/>
  <c r="A833" i="1"/>
  <c r="B833" i="1"/>
  <c r="H833" i="1"/>
  <c r="I833" i="1"/>
  <c r="D834" i="1"/>
  <c r="E834" i="1"/>
  <c r="F834" i="1"/>
  <c r="G834" i="1"/>
  <c r="A834" i="1"/>
  <c r="B834" i="1"/>
  <c r="H834" i="1"/>
  <c r="I834" i="1"/>
  <c r="D2155" i="1"/>
  <c r="E2155" i="1"/>
  <c r="F2155" i="1"/>
  <c r="G2155" i="1"/>
  <c r="A2155" i="1"/>
  <c r="B2155" i="1"/>
  <c r="H2155" i="1"/>
  <c r="I2155" i="1"/>
  <c r="D811" i="1"/>
  <c r="E811" i="1"/>
  <c r="F811" i="1"/>
  <c r="G811" i="1"/>
  <c r="A811" i="1"/>
  <c r="B811" i="1"/>
  <c r="H811" i="1"/>
  <c r="I811" i="1"/>
  <c r="D978" i="1"/>
  <c r="E978" i="1"/>
  <c r="F978" i="1"/>
  <c r="G978" i="1"/>
  <c r="A978" i="1"/>
  <c r="B978" i="1"/>
  <c r="H978" i="1"/>
  <c r="I978" i="1"/>
  <c r="D1230" i="1"/>
  <c r="E1230" i="1"/>
  <c r="F1230" i="1"/>
  <c r="G1230" i="1"/>
  <c r="A1230" i="1"/>
  <c r="B1230" i="1"/>
  <c r="H1230" i="1"/>
  <c r="I1230" i="1"/>
  <c r="D883" i="1"/>
  <c r="E883" i="1"/>
  <c r="F883" i="1"/>
  <c r="G883" i="1"/>
  <c r="A883" i="1"/>
  <c r="B883" i="1"/>
  <c r="H883" i="1"/>
  <c r="I883" i="1"/>
  <c r="D2072" i="1"/>
  <c r="E2072" i="1"/>
  <c r="F2072" i="1"/>
  <c r="G2072" i="1"/>
  <c r="A2072" i="1"/>
  <c r="B2072" i="1"/>
  <c r="H2072" i="1"/>
  <c r="I2072" i="1"/>
  <c r="D872" i="1"/>
  <c r="E872" i="1"/>
  <c r="F872" i="1"/>
  <c r="G872" i="1"/>
  <c r="A872" i="1"/>
  <c r="B872" i="1"/>
  <c r="H872" i="1"/>
  <c r="I872" i="1"/>
  <c r="D813" i="1"/>
  <c r="E813" i="1"/>
  <c r="F813" i="1"/>
  <c r="G813" i="1"/>
  <c r="A813" i="1"/>
  <c r="B813" i="1"/>
  <c r="H813" i="1"/>
  <c r="I813" i="1"/>
  <c r="D827" i="1"/>
  <c r="E827" i="1"/>
  <c r="F827" i="1"/>
  <c r="G827" i="1"/>
  <c r="A827" i="1"/>
  <c r="B827" i="1"/>
  <c r="H827" i="1"/>
  <c r="I827" i="1"/>
  <c r="D828" i="1"/>
  <c r="E828" i="1"/>
  <c r="F828" i="1"/>
  <c r="G828" i="1"/>
  <c r="A828" i="1"/>
  <c r="B828" i="1"/>
  <c r="H828" i="1"/>
  <c r="I828" i="1"/>
  <c r="D3288" i="1"/>
  <c r="E3288" i="1"/>
  <c r="F3288" i="1"/>
  <c r="G3288" i="1"/>
  <c r="A3288" i="1"/>
  <c r="B3288" i="1"/>
  <c r="H3288" i="1"/>
  <c r="I3288" i="1"/>
  <c r="D895" i="1"/>
  <c r="E895" i="1"/>
  <c r="F895" i="1"/>
  <c r="G895" i="1"/>
  <c r="A895" i="1"/>
  <c r="B895" i="1"/>
  <c r="H895" i="1"/>
  <c r="I895" i="1"/>
  <c r="D1034" i="1"/>
  <c r="E1034" i="1"/>
  <c r="F1034" i="1"/>
  <c r="G1034" i="1"/>
  <c r="A1034" i="1"/>
  <c r="B1034" i="1"/>
  <c r="H1034" i="1"/>
  <c r="I1034" i="1"/>
  <c r="D1036" i="1"/>
  <c r="E1036" i="1"/>
  <c r="F1036" i="1"/>
  <c r="G1036" i="1"/>
  <c r="A1036" i="1"/>
  <c r="B1036" i="1"/>
  <c r="H1036" i="1"/>
  <c r="I1036" i="1"/>
  <c r="D829" i="1"/>
  <c r="E829" i="1"/>
  <c r="F829" i="1"/>
  <c r="G829" i="1"/>
  <c r="A829" i="1"/>
  <c r="B829" i="1"/>
  <c r="H829" i="1"/>
  <c r="I829" i="1"/>
  <c r="D979" i="1"/>
  <c r="E979" i="1"/>
  <c r="F979" i="1"/>
  <c r="G979" i="1"/>
  <c r="A979" i="1"/>
  <c r="B979" i="1"/>
  <c r="H979" i="1"/>
  <c r="I979" i="1"/>
  <c r="D17" i="1"/>
  <c r="E17" i="1"/>
  <c r="F17" i="1"/>
  <c r="G17" i="1"/>
  <c r="A17" i="1"/>
  <c r="B17" i="1"/>
  <c r="H17" i="1"/>
  <c r="I17" i="1"/>
  <c r="D832" i="1"/>
  <c r="E832" i="1"/>
  <c r="F832" i="1"/>
  <c r="G832" i="1"/>
  <c r="A832" i="1"/>
  <c r="B832" i="1"/>
  <c r="H832" i="1"/>
  <c r="I832" i="1"/>
  <c r="D839" i="1"/>
  <c r="E839" i="1"/>
  <c r="F839" i="1"/>
  <c r="G839" i="1"/>
  <c r="A839" i="1"/>
  <c r="B839" i="1"/>
  <c r="H839" i="1"/>
  <c r="I839" i="1"/>
  <c r="D400" i="1"/>
  <c r="E400" i="1"/>
  <c r="F400" i="1"/>
  <c r="G400" i="1"/>
  <c r="A400" i="1"/>
  <c r="B400" i="1"/>
  <c r="H400" i="1"/>
  <c r="I400" i="1"/>
  <c r="D874" i="1"/>
  <c r="E874" i="1"/>
  <c r="F874" i="1"/>
  <c r="G874" i="1"/>
  <c r="A874" i="1"/>
  <c r="B874" i="1"/>
  <c r="H874" i="1"/>
  <c r="I874" i="1"/>
  <c r="D2104" i="1"/>
  <c r="E2104" i="1"/>
  <c r="F2104" i="1"/>
  <c r="G2104" i="1"/>
  <c r="A2104" i="1"/>
  <c r="B2104" i="1"/>
  <c r="H2104" i="1"/>
  <c r="I2104" i="1"/>
  <c r="D418" i="1"/>
  <c r="E418" i="1"/>
  <c r="F418" i="1"/>
  <c r="G418" i="1"/>
  <c r="A418" i="1"/>
  <c r="B418" i="1"/>
  <c r="H418" i="1"/>
  <c r="I418" i="1"/>
  <c r="D2063" i="1"/>
  <c r="E2063" i="1"/>
  <c r="F2063" i="1"/>
  <c r="G2063" i="1"/>
  <c r="A2063" i="1"/>
  <c r="B2063" i="1"/>
  <c r="H2063" i="1"/>
  <c r="I2063" i="1"/>
  <c r="D814" i="1"/>
  <c r="E814" i="1"/>
  <c r="F814" i="1"/>
  <c r="G814" i="1"/>
  <c r="A814" i="1"/>
  <c r="B814" i="1"/>
  <c r="H814" i="1"/>
  <c r="I814" i="1"/>
  <c r="D2083" i="1"/>
  <c r="E2083" i="1"/>
  <c r="F2083" i="1"/>
  <c r="G2083" i="1"/>
  <c r="A2083" i="1"/>
  <c r="B2083" i="1"/>
  <c r="H2083" i="1"/>
  <c r="I2083" i="1"/>
  <c r="D977" i="1"/>
  <c r="E977" i="1"/>
  <c r="F977" i="1"/>
  <c r="G977" i="1"/>
  <c r="A977" i="1"/>
  <c r="B977" i="1"/>
  <c r="H977" i="1"/>
  <c r="I977" i="1"/>
  <c r="D998" i="1"/>
  <c r="E998" i="1"/>
  <c r="F998" i="1"/>
  <c r="G998" i="1"/>
  <c r="A998" i="1"/>
  <c r="B998" i="1"/>
  <c r="H998" i="1"/>
  <c r="I998" i="1"/>
  <c r="D934" i="1"/>
  <c r="E934" i="1"/>
  <c r="F934" i="1"/>
  <c r="G934" i="1"/>
  <c r="A934" i="1"/>
  <c r="B934" i="1"/>
  <c r="H934" i="1"/>
  <c r="I934" i="1"/>
  <c r="D901" i="1"/>
  <c r="E901" i="1"/>
  <c r="F901" i="1"/>
  <c r="G901" i="1"/>
  <c r="A901" i="1"/>
  <c r="B901" i="1"/>
  <c r="H901" i="1"/>
  <c r="I901" i="1"/>
  <c r="D973" i="1"/>
  <c r="E973" i="1"/>
  <c r="F973" i="1"/>
  <c r="G973" i="1"/>
  <c r="A973" i="1"/>
  <c r="B973" i="1"/>
  <c r="H973" i="1"/>
  <c r="I973" i="1"/>
  <c r="D2136" i="1"/>
  <c r="E2136" i="1"/>
  <c r="F2136" i="1"/>
  <c r="G2136" i="1"/>
  <c r="A2136" i="1"/>
  <c r="B2136" i="1"/>
  <c r="H2136" i="1"/>
  <c r="I2136" i="1"/>
  <c r="D858" i="1"/>
  <c r="E858" i="1"/>
  <c r="F858" i="1"/>
  <c r="G858" i="1"/>
  <c r="A858" i="1"/>
  <c r="B858" i="1"/>
  <c r="H858" i="1"/>
  <c r="I858" i="1"/>
  <c r="D1444" i="1"/>
  <c r="E1444" i="1"/>
  <c r="F1444" i="1"/>
  <c r="G1444" i="1"/>
  <c r="A1444" i="1"/>
  <c r="B1444" i="1"/>
  <c r="H1444" i="1"/>
  <c r="I1444" i="1"/>
  <c r="D877" i="1"/>
  <c r="E877" i="1"/>
  <c r="F877" i="1"/>
  <c r="G877" i="1"/>
  <c r="A877" i="1"/>
  <c r="B877" i="1"/>
  <c r="H877" i="1"/>
  <c r="I877" i="1"/>
  <c r="D1436" i="1"/>
  <c r="E1436" i="1"/>
  <c r="F1436" i="1"/>
  <c r="G1436" i="1"/>
  <c r="A1436" i="1"/>
  <c r="B1436" i="1"/>
  <c r="H1436" i="1"/>
  <c r="I1436" i="1"/>
  <c r="D1100" i="1"/>
  <c r="E1100" i="1"/>
  <c r="F1100" i="1"/>
  <c r="G1100" i="1"/>
  <c r="A1100" i="1"/>
  <c r="B1100" i="1"/>
  <c r="H1100" i="1"/>
  <c r="I1100" i="1"/>
  <c r="D1026" i="1"/>
  <c r="E1026" i="1"/>
  <c r="F1026" i="1"/>
  <c r="G1026" i="1"/>
  <c r="A1026" i="1"/>
  <c r="B1026" i="1"/>
  <c r="H1026" i="1"/>
  <c r="I1026" i="1"/>
  <c r="D1027" i="1"/>
  <c r="E1027" i="1"/>
  <c r="F1027" i="1"/>
  <c r="G1027" i="1"/>
  <c r="A1027" i="1"/>
  <c r="B1027" i="1"/>
  <c r="H1027" i="1"/>
  <c r="I1027" i="1"/>
  <c r="D1042" i="1"/>
  <c r="E1042" i="1"/>
  <c r="F1042" i="1"/>
  <c r="G1042" i="1"/>
  <c r="A1042" i="1"/>
  <c r="B1042" i="1"/>
  <c r="H1042" i="1"/>
  <c r="I1042" i="1"/>
  <c r="D1044" i="1"/>
  <c r="E1044" i="1"/>
  <c r="F1044" i="1"/>
  <c r="G1044" i="1"/>
  <c r="A1044" i="1"/>
  <c r="B1044" i="1"/>
  <c r="H1044" i="1"/>
  <c r="I1044" i="1"/>
  <c r="D1045" i="1"/>
  <c r="E1045" i="1"/>
  <c r="F1045" i="1"/>
  <c r="G1045" i="1"/>
  <c r="A1045" i="1"/>
  <c r="B1045" i="1"/>
  <c r="H1045" i="1"/>
  <c r="I1045" i="1"/>
  <c r="D1046" i="1"/>
  <c r="E1046" i="1"/>
  <c r="F1046" i="1"/>
  <c r="G1046" i="1"/>
  <c r="A1046" i="1"/>
  <c r="B1046" i="1"/>
  <c r="H1046" i="1"/>
  <c r="I1046" i="1"/>
  <c r="D785" i="1"/>
  <c r="E785" i="1"/>
  <c r="F785" i="1"/>
  <c r="G785" i="1"/>
  <c r="A785" i="1"/>
  <c r="B785" i="1"/>
  <c r="H785" i="1"/>
  <c r="I785" i="1"/>
  <c r="D3059" i="1"/>
  <c r="E3059" i="1"/>
  <c r="F3059" i="1"/>
  <c r="G3059" i="1"/>
  <c r="A3059" i="1"/>
  <c r="B3059" i="1"/>
  <c r="H3059" i="1"/>
  <c r="I3059" i="1"/>
  <c r="D760" i="1"/>
  <c r="E760" i="1"/>
  <c r="F760" i="1"/>
  <c r="G760" i="1"/>
  <c r="A760" i="1"/>
  <c r="B760" i="1"/>
  <c r="H760" i="1"/>
  <c r="I760" i="1"/>
  <c r="D3061" i="1"/>
  <c r="E3061" i="1"/>
  <c r="F3061" i="1"/>
  <c r="G3061" i="1"/>
  <c r="A3061" i="1"/>
  <c r="B3061" i="1"/>
  <c r="H3061" i="1"/>
  <c r="I3061" i="1"/>
  <c r="D786" i="1"/>
  <c r="E786" i="1"/>
  <c r="F786" i="1"/>
  <c r="G786" i="1"/>
  <c r="A786" i="1"/>
  <c r="B786" i="1"/>
  <c r="H786" i="1"/>
  <c r="I786" i="1"/>
  <c r="D804" i="1"/>
  <c r="E804" i="1"/>
  <c r="F804" i="1"/>
  <c r="G804" i="1"/>
  <c r="A804" i="1"/>
  <c r="B804" i="1"/>
  <c r="H804" i="1"/>
  <c r="I804" i="1"/>
  <c r="D2051" i="1"/>
  <c r="E2051" i="1"/>
  <c r="F2051" i="1"/>
  <c r="G2051" i="1"/>
  <c r="A2051" i="1"/>
  <c r="B2051" i="1"/>
  <c r="H2051" i="1"/>
  <c r="I2051" i="1"/>
  <c r="D967" i="1"/>
  <c r="E967" i="1"/>
  <c r="F967" i="1"/>
  <c r="G967" i="1"/>
  <c r="A967" i="1"/>
  <c r="B967" i="1"/>
  <c r="H967" i="1"/>
  <c r="I967" i="1"/>
  <c r="D1450" i="1"/>
  <c r="E1450" i="1"/>
  <c r="F1450" i="1"/>
  <c r="G1450" i="1"/>
  <c r="A1450" i="1"/>
  <c r="B1450" i="1"/>
  <c r="H1450" i="1"/>
  <c r="I1450" i="1"/>
  <c r="D1232" i="1"/>
  <c r="E1232" i="1"/>
  <c r="F1232" i="1"/>
  <c r="G1232" i="1"/>
  <c r="A1232" i="1"/>
  <c r="B1232" i="1"/>
  <c r="H1232" i="1"/>
  <c r="I1232" i="1"/>
  <c r="D2125" i="1"/>
  <c r="E2125" i="1"/>
  <c r="F2125" i="1"/>
  <c r="G2125" i="1"/>
  <c r="A2125" i="1"/>
  <c r="B2125" i="1"/>
  <c r="H2125" i="1"/>
  <c r="I2125" i="1"/>
  <c r="D2126" i="1"/>
  <c r="E2126" i="1"/>
  <c r="F2126" i="1"/>
  <c r="G2126" i="1"/>
  <c r="A2126" i="1"/>
  <c r="B2126" i="1"/>
  <c r="H2126" i="1"/>
  <c r="I2126" i="1"/>
  <c r="D802" i="1"/>
  <c r="E802" i="1"/>
  <c r="F802" i="1"/>
  <c r="G802" i="1"/>
  <c r="A802" i="1"/>
  <c r="B802" i="1"/>
  <c r="H802" i="1"/>
  <c r="I802" i="1"/>
  <c r="D905" i="1"/>
  <c r="E905" i="1"/>
  <c r="F905" i="1"/>
  <c r="G905" i="1"/>
  <c r="A905" i="1"/>
  <c r="B905" i="1"/>
  <c r="H905" i="1"/>
  <c r="I905" i="1"/>
  <c r="D906" i="1"/>
  <c r="E906" i="1"/>
  <c r="F906" i="1"/>
  <c r="G906" i="1"/>
  <c r="A906" i="1"/>
  <c r="B906" i="1"/>
  <c r="H906" i="1"/>
  <c r="I906" i="1"/>
  <c r="D807" i="1"/>
  <c r="E807" i="1"/>
  <c r="F807" i="1"/>
  <c r="G807" i="1"/>
  <c r="A807" i="1"/>
  <c r="B807" i="1"/>
  <c r="H807" i="1"/>
  <c r="I807" i="1"/>
  <c r="D416" i="1"/>
  <c r="E416" i="1"/>
  <c r="F416" i="1"/>
  <c r="G416" i="1"/>
  <c r="A416" i="1"/>
  <c r="B416" i="1"/>
  <c r="H416" i="1"/>
  <c r="I416" i="1"/>
  <c r="D818" i="1"/>
  <c r="E818" i="1"/>
  <c r="F818" i="1"/>
  <c r="G818" i="1"/>
  <c r="A818" i="1"/>
  <c r="B818" i="1"/>
  <c r="H818" i="1"/>
  <c r="I818" i="1"/>
  <c r="D2146" i="1"/>
  <c r="E2146" i="1"/>
  <c r="F2146" i="1"/>
  <c r="G2146" i="1"/>
  <c r="A2146" i="1"/>
  <c r="B2146" i="1"/>
  <c r="H2146" i="1"/>
  <c r="I2146" i="1"/>
  <c r="D2147" i="1"/>
  <c r="E2147" i="1"/>
  <c r="F2147" i="1"/>
  <c r="G2147" i="1"/>
  <c r="A2147" i="1"/>
  <c r="B2147" i="1"/>
  <c r="H2147" i="1"/>
  <c r="I2147" i="1"/>
  <c r="D819" i="1"/>
  <c r="E819" i="1"/>
  <c r="F819" i="1"/>
  <c r="G819" i="1"/>
  <c r="A819" i="1"/>
  <c r="B819" i="1"/>
  <c r="H819" i="1"/>
  <c r="I819" i="1"/>
  <c r="D16" i="1"/>
  <c r="E16" i="1"/>
  <c r="F16" i="1"/>
  <c r="G16" i="1"/>
  <c r="A16" i="1"/>
  <c r="B16" i="1"/>
  <c r="H16" i="1"/>
  <c r="I16" i="1"/>
  <c r="D920" i="1"/>
  <c r="E920" i="1"/>
  <c r="F920" i="1"/>
  <c r="G920" i="1"/>
  <c r="A920" i="1"/>
  <c r="B920" i="1"/>
  <c r="H920" i="1"/>
  <c r="I920" i="1"/>
  <c r="D423" i="1"/>
  <c r="E423" i="1"/>
  <c r="F423" i="1"/>
  <c r="G423" i="1"/>
  <c r="A423" i="1"/>
  <c r="B423" i="1"/>
  <c r="H423" i="1"/>
  <c r="I423" i="1"/>
  <c r="D1038" i="1"/>
  <c r="E1038" i="1"/>
  <c r="F1038" i="1"/>
  <c r="G1038" i="1"/>
  <c r="A1038" i="1"/>
  <c r="B1038" i="1"/>
  <c r="H1038" i="1"/>
  <c r="I1038" i="1"/>
  <c r="D2058" i="1"/>
  <c r="E2058" i="1"/>
  <c r="F2058" i="1"/>
  <c r="G2058" i="1"/>
  <c r="A2058" i="1"/>
  <c r="B2058" i="1"/>
  <c r="H2058" i="1"/>
  <c r="I2058" i="1"/>
  <c r="D2059" i="1"/>
  <c r="E2059" i="1"/>
  <c r="F2059" i="1"/>
  <c r="G2059" i="1"/>
  <c r="A2059" i="1"/>
  <c r="B2059" i="1"/>
  <c r="H2059" i="1"/>
  <c r="I2059" i="1"/>
  <c r="D462" i="1"/>
  <c r="E462" i="1"/>
  <c r="F462" i="1"/>
  <c r="G462" i="1"/>
  <c r="A462" i="1"/>
  <c r="B462" i="1"/>
  <c r="H462" i="1"/>
  <c r="I462" i="1"/>
  <c r="D2117" i="1"/>
  <c r="E2117" i="1"/>
  <c r="F2117" i="1"/>
  <c r="G2117" i="1"/>
  <c r="A2117" i="1"/>
  <c r="B2117" i="1"/>
  <c r="H2117" i="1"/>
  <c r="I2117" i="1"/>
  <c r="D1011" i="1"/>
  <c r="E1011" i="1"/>
  <c r="F1011" i="1"/>
  <c r="G1011" i="1"/>
  <c r="A1011" i="1"/>
  <c r="B1011" i="1"/>
  <c r="H1011" i="1"/>
  <c r="I1011" i="1"/>
  <c r="D1013" i="1"/>
  <c r="E1013" i="1"/>
  <c r="F1013" i="1"/>
  <c r="G1013" i="1"/>
  <c r="A1013" i="1"/>
  <c r="B1013" i="1"/>
  <c r="H1013" i="1"/>
  <c r="I1013" i="1"/>
  <c r="D1021" i="1"/>
  <c r="E1021" i="1"/>
  <c r="F1021" i="1"/>
  <c r="G1021" i="1"/>
  <c r="A1021" i="1"/>
  <c r="B1021" i="1"/>
  <c r="H1021" i="1"/>
  <c r="I1021" i="1"/>
  <c r="D1025" i="1"/>
  <c r="E1025" i="1"/>
  <c r="F1025" i="1"/>
  <c r="G1025" i="1"/>
  <c r="A1025" i="1"/>
  <c r="B1025" i="1"/>
  <c r="H1025" i="1"/>
  <c r="I1025" i="1"/>
  <c r="D980" i="1"/>
  <c r="E980" i="1"/>
  <c r="F980" i="1"/>
  <c r="G980" i="1"/>
  <c r="A980" i="1"/>
  <c r="B980" i="1"/>
  <c r="H980" i="1"/>
  <c r="I980" i="1"/>
  <c r="D3289" i="1"/>
  <c r="E3289" i="1"/>
  <c r="F3289" i="1"/>
  <c r="G3289" i="1"/>
  <c r="A3289" i="1"/>
  <c r="B3289" i="1"/>
  <c r="H3289" i="1"/>
  <c r="I3289" i="1"/>
  <c r="D890" i="1"/>
  <c r="E890" i="1"/>
  <c r="F890" i="1"/>
  <c r="G890" i="1"/>
  <c r="A890" i="1"/>
  <c r="B890" i="1"/>
  <c r="H890" i="1"/>
  <c r="I890" i="1"/>
  <c r="D982" i="1"/>
  <c r="E982" i="1"/>
  <c r="F982" i="1"/>
  <c r="G982" i="1"/>
  <c r="A982" i="1"/>
  <c r="B982" i="1"/>
  <c r="H982" i="1"/>
  <c r="I982" i="1"/>
  <c r="D1020" i="1"/>
  <c r="E1020" i="1"/>
  <c r="F1020" i="1"/>
  <c r="G1020" i="1"/>
  <c r="A1020" i="1"/>
  <c r="B1020" i="1"/>
  <c r="H1020" i="1"/>
  <c r="I1020" i="1"/>
  <c r="D938" i="1"/>
  <c r="E938" i="1"/>
  <c r="F938" i="1"/>
  <c r="G938" i="1"/>
  <c r="A938" i="1"/>
  <c r="B938" i="1"/>
  <c r="H938" i="1"/>
  <c r="I938" i="1"/>
  <c r="D1469" i="1"/>
  <c r="E1469" i="1"/>
  <c r="F1469" i="1"/>
  <c r="G1469" i="1"/>
  <c r="A1469" i="1"/>
  <c r="B1469" i="1"/>
  <c r="H1469" i="1"/>
  <c r="I1469" i="1"/>
  <c r="D888" i="1"/>
  <c r="E888" i="1"/>
  <c r="F888" i="1"/>
  <c r="G888" i="1"/>
  <c r="A888" i="1"/>
  <c r="B888" i="1"/>
  <c r="H888" i="1"/>
  <c r="I888" i="1"/>
  <c r="D845" i="1"/>
  <c r="E845" i="1"/>
  <c r="F845" i="1"/>
  <c r="G845" i="1"/>
  <c r="A845" i="1"/>
  <c r="B845" i="1"/>
  <c r="H845" i="1"/>
  <c r="I845" i="1"/>
  <c r="D1054" i="1"/>
  <c r="E1054" i="1"/>
  <c r="F1054" i="1"/>
  <c r="G1054" i="1"/>
  <c r="A1054" i="1"/>
  <c r="B1054" i="1"/>
  <c r="H1054" i="1"/>
  <c r="I1054" i="1"/>
  <c r="D3030" i="1"/>
  <c r="E3030" i="1"/>
  <c r="F3030" i="1"/>
  <c r="G3030" i="1"/>
  <c r="A3030" i="1"/>
  <c r="B3030" i="1"/>
  <c r="H3030" i="1"/>
  <c r="I3030" i="1"/>
  <c r="D1096" i="1"/>
  <c r="E1096" i="1"/>
  <c r="F1096" i="1"/>
  <c r="G1096" i="1"/>
  <c r="A1096" i="1"/>
  <c r="B1096" i="1"/>
  <c r="H1096" i="1"/>
  <c r="I1096" i="1"/>
  <c r="D1053" i="1"/>
  <c r="E1053" i="1"/>
  <c r="F1053" i="1"/>
  <c r="G1053" i="1"/>
  <c r="A1053" i="1"/>
  <c r="B1053" i="1"/>
  <c r="H1053" i="1"/>
  <c r="I1053" i="1"/>
  <c r="D988" i="1"/>
  <c r="E988" i="1"/>
  <c r="F988" i="1"/>
  <c r="G988" i="1"/>
  <c r="A988" i="1"/>
  <c r="B988" i="1"/>
  <c r="H988" i="1"/>
  <c r="I988" i="1"/>
  <c r="D864" i="1"/>
  <c r="E864" i="1"/>
  <c r="F864" i="1"/>
  <c r="G864" i="1"/>
  <c r="A864" i="1"/>
  <c r="B864" i="1"/>
  <c r="H864" i="1"/>
  <c r="I864" i="1"/>
  <c r="D2159" i="1"/>
  <c r="E2159" i="1"/>
  <c r="F2159" i="1"/>
  <c r="G2159" i="1"/>
  <c r="A2159" i="1"/>
  <c r="B2159" i="1"/>
  <c r="H2159" i="1"/>
  <c r="I2159" i="1"/>
  <c r="D882" i="1"/>
  <c r="E882" i="1"/>
  <c r="F882" i="1"/>
  <c r="G882" i="1"/>
  <c r="A882" i="1"/>
  <c r="B882" i="1"/>
  <c r="H882" i="1"/>
  <c r="I882" i="1"/>
  <c r="D2161" i="1"/>
  <c r="E2161" i="1"/>
  <c r="F2161" i="1"/>
  <c r="G2161" i="1"/>
  <c r="A2161" i="1"/>
  <c r="B2161" i="1"/>
  <c r="H2161" i="1"/>
  <c r="I2161" i="1"/>
  <c r="D457" i="1"/>
  <c r="E457" i="1"/>
  <c r="F457" i="1"/>
  <c r="G457" i="1"/>
  <c r="A457" i="1"/>
  <c r="B457" i="1"/>
  <c r="H457" i="1"/>
  <c r="I457" i="1"/>
  <c r="D397" i="1"/>
  <c r="E397" i="1"/>
  <c r="F397" i="1"/>
  <c r="G397" i="1"/>
  <c r="A397" i="1"/>
  <c r="B397" i="1"/>
  <c r="H397" i="1"/>
  <c r="I397" i="1"/>
  <c r="D398" i="1"/>
  <c r="E398" i="1"/>
  <c r="F398" i="1"/>
  <c r="G398" i="1"/>
  <c r="A398" i="1"/>
  <c r="B398" i="1"/>
  <c r="H398" i="1"/>
  <c r="I398" i="1"/>
  <c r="D1090" i="1"/>
  <c r="E1090" i="1"/>
  <c r="F1090" i="1"/>
  <c r="G1090" i="1"/>
  <c r="A1090" i="1"/>
  <c r="B1090" i="1"/>
  <c r="H1090" i="1"/>
  <c r="I1090" i="1"/>
  <c r="D893" i="1"/>
  <c r="E893" i="1"/>
  <c r="F893" i="1"/>
  <c r="G893" i="1"/>
  <c r="A893" i="1"/>
  <c r="B893" i="1"/>
  <c r="H893" i="1"/>
  <c r="I893" i="1"/>
  <c r="D857" i="1"/>
  <c r="E857" i="1"/>
  <c r="F857" i="1"/>
  <c r="G857" i="1"/>
  <c r="A857" i="1"/>
  <c r="B857" i="1"/>
  <c r="H857" i="1"/>
  <c r="I857" i="1"/>
  <c r="D1097" i="1"/>
  <c r="E1097" i="1"/>
  <c r="F1097" i="1"/>
  <c r="G1097" i="1"/>
  <c r="A1097" i="1"/>
  <c r="B1097" i="1"/>
  <c r="H1097" i="1"/>
  <c r="I1097" i="1"/>
  <c r="D422" i="1"/>
  <c r="E422" i="1"/>
  <c r="F422" i="1"/>
  <c r="G422" i="1"/>
  <c r="A422" i="1"/>
  <c r="B422" i="1"/>
  <c r="H422" i="1"/>
  <c r="I422" i="1"/>
  <c r="D2087" i="1"/>
  <c r="E2087" i="1"/>
  <c r="F2087" i="1"/>
  <c r="G2087" i="1"/>
  <c r="A2087" i="1"/>
  <c r="B2087" i="1"/>
  <c r="H2087" i="1"/>
  <c r="I2087" i="1"/>
  <c r="D1003" i="1"/>
  <c r="E1003" i="1"/>
  <c r="F1003" i="1"/>
  <c r="G1003" i="1"/>
  <c r="A1003" i="1"/>
  <c r="B1003" i="1"/>
  <c r="H1003" i="1"/>
  <c r="I1003" i="1"/>
  <c r="D1004" i="1"/>
  <c r="E1004" i="1"/>
  <c r="F1004" i="1"/>
  <c r="G1004" i="1"/>
  <c r="A1004" i="1"/>
  <c r="B1004" i="1"/>
  <c r="H1004" i="1"/>
  <c r="I1004" i="1"/>
  <c r="D1005" i="1"/>
  <c r="E1005" i="1"/>
  <c r="F1005" i="1"/>
  <c r="G1005" i="1"/>
  <c r="A1005" i="1"/>
  <c r="B1005" i="1"/>
  <c r="H1005" i="1"/>
  <c r="I1005" i="1"/>
  <c r="D1006" i="1"/>
  <c r="E1006" i="1"/>
  <c r="F1006" i="1"/>
  <c r="G1006" i="1"/>
  <c r="A1006" i="1"/>
  <c r="B1006" i="1"/>
  <c r="H1006" i="1"/>
  <c r="I1006" i="1"/>
  <c r="D1425" i="1"/>
  <c r="E1425" i="1"/>
  <c r="F1425" i="1"/>
  <c r="G1425" i="1"/>
  <c r="A1425" i="1"/>
  <c r="B1425" i="1"/>
  <c r="H1425" i="1"/>
  <c r="I1425" i="1"/>
  <c r="D413" i="1"/>
  <c r="E413" i="1"/>
  <c r="F413" i="1"/>
  <c r="G413" i="1"/>
  <c r="A413" i="1"/>
  <c r="B413" i="1"/>
  <c r="H413" i="1"/>
  <c r="I413" i="1"/>
  <c r="D414" i="1"/>
  <c r="E414" i="1"/>
  <c r="F414" i="1"/>
  <c r="G414" i="1"/>
  <c r="A414" i="1"/>
  <c r="B414" i="1"/>
  <c r="H414" i="1"/>
  <c r="I414" i="1"/>
  <c r="D3026" i="1"/>
  <c r="E3026" i="1"/>
  <c r="F3026" i="1"/>
  <c r="G3026" i="1"/>
  <c r="A3026" i="1"/>
  <c r="B3026" i="1"/>
  <c r="H3026" i="1"/>
  <c r="I3026" i="1"/>
  <c r="D2138" i="1"/>
  <c r="E2138" i="1"/>
  <c r="F2138" i="1"/>
  <c r="G2138" i="1"/>
  <c r="A2138" i="1"/>
  <c r="B2138" i="1"/>
  <c r="H2138" i="1"/>
  <c r="I2138" i="1"/>
  <c r="D3275" i="1"/>
  <c r="E3275" i="1"/>
  <c r="F3275" i="1"/>
  <c r="G3275" i="1"/>
  <c r="A3275" i="1"/>
  <c r="B3275" i="1"/>
  <c r="H3275" i="1"/>
  <c r="I3275" i="1"/>
  <c r="D415" i="1"/>
  <c r="E415" i="1"/>
  <c r="F415" i="1"/>
  <c r="G415" i="1"/>
  <c r="A415" i="1"/>
  <c r="B415" i="1"/>
  <c r="H415" i="1"/>
  <c r="I415" i="1"/>
  <c r="D1453" i="1"/>
  <c r="E1453" i="1"/>
  <c r="F1453" i="1"/>
  <c r="G1453" i="1"/>
  <c r="A1453" i="1"/>
  <c r="B1453" i="1"/>
  <c r="H1453" i="1"/>
  <c r="I1453" i="1"/>
  <c r="D2092" i="1"/>
  <c r="E2092" i="1"/>
  <c r="F2092" i="1"/>
  <c r="G2092" i="1"/>
  <c r="A2092" i="1"/>
  <c r="B2092" i="1"/>
  <c r="H2092" i="1"/>
  <c r="I2092" i="1"/>
  <c r="D1231" i="1"/>
  <c r="E1231" i="1"/>
  <c r="F1231" i="1"/>
  <c r="G1231" i="1"/>
  <c r="A1231" i="1"/>
  <c r="B1231" i="1"/>
  <c r="H1231" i="1"/>
  <c r="I1231" i="1"/>
  <c r="D871" i="1"/>
  <c r="E871" i="1"/>
  <c r="F871" i="1"/>
  <c r="G871" i="1"/>
  <c r="A871" i="1"/>
  <c r="B871" i="1"/>
  <c r="H871" i="1"/>
  <c r="I871" i="1"/>
  <c r="D849" i="1"/>
  <c r="E849" i="1"/>
  <c r="F849" i="1"/>
  <c r="G849" i="1"/>
  <c r="A849" i="1"/>
  <c r="B849" i="1"/>
  <c r="H849" i="1"/>
  <c r="I849" i="1"/>
  <c r="D847" i="1"/>
  <c r="E847" i="1"/>
  <c r="F847" i="1"/>
  <c r="G847" i="1"/>
  <c r="A847" i="1"/>
  <c r="B847" i="1"/>
  <c r="H847" i="1"/>
  <c r="I847" i="1"/>
  <c r="D860" i="1"/>
  <c r="E860" i="1"/>
  <c r="F860" i="1"/>
  <c r="G860" i="1"/>
  <c r="A860" i="1"/>
  <c r="B860" i="1"/>
  <c r="H860" i="1"/>
  <c r="I860" i="1"/>
  <c r="D870" i="1"/>
  <c r="E870" i="1"/>
  <c r="F870" i="1"/>
  <c r="G870" i="1"/>
  <c r="A870" i="1"/>
  <c r="B870" i="1"/>
  <c r="H870" i="1"/>
  <c r="I870" i="1"/>
  <c r="D1435" i="1"/>
  <c r="E1435" i="1"/>
  <c r="F1435" i="1"/>
  <c r="G1435" i="1"/>
  <c r="A1435" i="1"/>
  <c r="B1435" i="1"/>
  <c r="H1435" i="1"/>
  <c r="I1435" i="1"/>
  <c r="D2123" i="1"/>
  <c r="E2123" i="1"/>
  <c r="F2123" i="1"/>
  <c r="G2123" i="1"/>
  <c r="A2123" i="1"/>
  <c r="B2123" i="1"/>
  <c r="H2123" i="1"/>
  <c r="I2123" i="1"/>
  <c r="D407" i="1"/>
  <c r="E407" i="1"/>
  <c r="F407" i="1"/>
  <c r="G407" i="1"/>
  <c r="A407" i="1"/>
  <c r="B407" i="1"/>
  <c r="H407" i="1"/>
  <c r="I407" i="1"/>
  <c r="D2442" i="1"/>
  <c r="E2442" i="1"/>
  <c r="F2442" i="1"/>
  <c r="G2442" i="1"/>
  <c r="A2442" i="1"/>
  <c r="B2442" i="1"/>
  <c r="H2442" i="1"/>
  <c r="I2442" i="1"/>
  <c r="D2128" i="1"/>
  <c r="E2128" i="1"/>
  <c r="F2128" i="1"/>
  <c r="G2128" i="1"/>
  <c r="A2128" i="1"/>
  <c r="B2128" i="1"/>
  <c r="H2128" i="1"/>
  <c r="I2128" i="1"/>
  <c r="D854" i="1"/>
  <c r="E854" i="1"/>
  <c r="F854" i="1"/>
  <c r="G854" i="1"/>
  <c r="A854" i="1"/>
  <c r="B854" i="1"/>
  <c r="H854" i="1"/>
  <c r="I854" i="1"/>
  <c r="D424" i="1"/>
  <c r="E424" i="1"/>
  <c r="F424" i="1"/>
  <c r="G424" i="1"/>
  <c r="A424" i="1"/>
  <c r="B424" i="1"/>
  <c r="H424" i="1"/>
  <c r="I424" i="1"/>
  <c r="D1032" i="1"/>
  <c r="E1032" i="1"/>
  <c r="F1032" i="1"/>
  <c r="G1032" i="1"/>
  <c r="A1032" i="1"/>
  <c r="B1032" i="1"/>
  <c r="H1032" i="1"/>
  <c r="I1032" i="1"/>
  <c r="D3361" i="1"/>
  <c r="E3361" i="1"/>
  <c r="F3361" i="1"/>
  <c r="G3361" i="1"/>
  <c r="A3361" i="1"/>
  <c r="B3361" i="1"/>
  <c r="H3361" i="1"/>
  <c r="I3361" i="1"/>
  <c r="D855" i="1"/>
  <c r="E855" i="1"/>
  <c r="F855" i="1"/>
  <c r="G855" i="1"/>
  <c r="A855" i="1"/>
  <c r="B855" i="1"/>
  <c r="H855" i="1"/>
  <c r="I855" i="1"/>
  <c r="D862" i="1"/>
  <c r="E862" i="1"/>
  <c r="F862" i="1"/>
  <c r="G862" i="1"/>
  <c r="A862" i="1"/>
  <c r="B862" i="1"/>
  <c r="H862" i="1"/>
  <c r="I862" i="1"/>
  <c r="D1000" i="1"/>
  <c r="E1000" i="1"/>
  <c r="F1000" i="1"/>
  <c r="G1000" i="1"/>
  <c r="A1000" i="1"/>
  <c r="B1000" i="1"/>
  <c r="H1000" i="1"/>
  <c r="I1000" i="1"/>
  <c r="D399" i="1"/>
  <c r="E399" i="1"/>
  <c r="F399" i="1"/>
  <c r="G399" i="1"/>
  <c r="A399" i="1"/>
  <c r="B399" i="1"/>
  <c r="H399" i="1"/>
  <c r="I399" i="1"/>
  <c r="D1033" i="1"/>
  <c r="E1033" i="1"/>
  <c r="F1033" i="1"/>
  <c r="G1033" i="1"/>
  <c r="A1033" i="1"/>
  <c r="B1033" i="1"/>
  <c r="H1033" i="1"/>
  <c r="I1033" i="1"/>
  <c r="D455" i="1"/>
  <c r="E455" i="1"/>
  <c r="F455" i="1"/>
  <c r="G455" i="1"/>
  <c r="A455" i="1"/>
  <c r="B455" i="1"/>
  <c r="H455" i="1"/>
  <c r="I455" i="1"/>
  <c r="D1028" i="1"/>
  <c r="E1028" i="1"/>
  <c r="F1028" i="1"/>
  <c r="G1028" i="1"/>
  <c r="A1028" i="1"/>
  <c r="B1028" i="1"/>
  <c r="H1028" i="1"/>
  <c r="I1028" i="1"/>
  <c r="D1029" i="1"/>
  <c r="E1029" i="1"/>
  <c r="F1029" i="1"/>
  <c r="G1029" i="1"/>
  <c r="A1029" i="1"/>
  <c r="B1029" i="1"/>
  <c r="H1029" i="1"/>
  <c r="I1029" i="1"/>
  <c r="D1050" i="1"/>
  <c r="E1050" i="1"/>
  <c r="F1050" i="1"/>
  <c r="G1050" i="1"/>
  <c r="A1050" i="1"/>
  <c r="B1050" i="1"/>
  <c r="H1050" i="1"/>
  <c r="I1050" i="1"/>
  <c r="D968" i="1"/>
  <c r="E968" i="1"/>
  <c r="F968" i="1"/>
  <c r="G968" i="1"/>
  <c r="A968" i="1"/>
  <c r="B968" i="1"/>
  <c r="H968" i="1"/>
  <c r="I968" i="1"/>
  <c r="D969" i="1"/>
  <c r="E969" i="1"/>
  <c r="F969" i="1"/>
  <c r="G969" i="1"/>
  <c r="A969" i="1"/>
  <c r="B969" i="1"/>
  <c r="H969" i="1"/>
  <c r="I969" i="1"/>
  <c r="D957" i="1"/>
  <c r="E957" i="1"/>
  <c r="F957" i="1"/>
  <c r="G957" i="1"/>
  <c r="A957" i="1"/>
  <c r="B957" i="1"/>
  <c r="H957" i="1"/>
  <c r="I957" i="1"/>
  <c r="D958" i="1"/>
  <c r="E958" i="1"/>
  <c r="F958" i="1"/>
  <c r="G958" i="1"/>
  <c r="A958" i="1"/>
  <c r="B958" i="1"/>
  <c r="H958" i="1"/>
  <c r="I958" i="1"/>
  <c r="D959" i="1"/>
  <c r="E959" i="1"/>
  <c r="F959" i="1"/>
  <c r="G959" i="1"/>
  <c r="A959" i="1"/>
  <c r="B959" i="1"/>
  <c r="H959" i="1"/>
  <c r="I959" i="1"/>
  <c r="D1043" i="1"/>
  <c r="E1043" i="1"/>
  <c r="F1043" i="1"/>
  <c r="G1043" i="1"/>
  <c r="A1043" i="1"/>
  <c r="B1043" i="1"/>
  <c r="H1043" i="1"/>
  <c r="I1043" i="1"/>
  <c r="D1048" i="1"/>
  <c r="E1048" i="1"/>
  <c r="F1048" i="1"/>
  <c r="G1048" i="1"/>
  <c r="A1048" i="1"/>
  <c r="B1048" i="1"/>
  <c r="H1048" i="1"/>
  <c r="I1048" i="1"/>
  <c r="D2131" i="1"/>
  <c r="E2131" i="1"/>
  <c r="F2131" i="1"/>
  <c r="G2131" i="1"/>
  <c r="A2131" i="1"/>
  <c r="B2131" i="1"/>
  <c r="H2131" i="1"/>
  <c r="I2131" i="1"/>
  <c r="D904" i="1"/>
  <c r="E904" i="1"/>
  <c r="F904" i="1"/>
  <c r="G904" i="1"/>
  <c r="A904" i="1"/>
  <c r="B904" i="1"/>
  <c r="H904" i="1"/>
  <c r="I904" i="1"/>
  <c r="D1047" i="1"/>
  <c r="E1047" i="1"/>
  <c r="F1047" i="1"/>
  <c r="G1047" i="1"/>
  <c r="A1047" i="1"/>
  <c r="B1047" i="1"/>
  <c r="H1047" i="1"/>
  <c r="I1047" i="1"/>
  <c r="D1049" i="1"/>
  <c r="E1049" i="1"/>
  <c r="F1049" i="1"/>
  <c r="G1049" i="1"/>
  <c r="A1049" i="1"/>
  <c r="B1049" i="1"/>
  <c r="H1049" i="1"/>
  <c r="I1049" i="1"/>
  <c r="D2096" i="1"/>
  <c r="E2096" i="1"/>
  <c r="F2096" i="1"/>
  <c r="G2096" i="1"/>
  <c r="A2096" i="1"/>
  <c r="B2096" i="1"/>
  <c r="H2096" i="1"/>
  <c r="I2096" i="1"/>
  <c r="D881" i="1"/>
  <c r="E881" i="1"/>
  <c r="F881" i="1"/>
  <c r="G881" i="1"/>
  <c r="A881" i="1"/>
  <c r="B881" i="1"/>
  <c r="H881" i="1"/>
  <c r="I881" i="1"/>
  <c r="D923" i="1"/>
  <c r="E923" i="1"/>
  <c r="F923" i="1"/>
  <c r="G923" i="1"/>
  <c r="A923" i="1"/>
  <c r="B923" i="1"/>
  <c r="H923" i="1"/>
  <c r="I923" i="1"/>
  <c r="D2070" i="1"/>
  <c r="E2070" i="1"/>
  <c r="F2070" i="1"/>
  <c r="G2070" i="1"/>
  <c r="A2070" i="1"/>
  <c r="B2070" i="1"/>
  <c r="H2070" i="1"/>
  <c r="I2070" i="1"/>
  <c r="D402" i="1"/>
  <c r="E402" i="1"/>
  <c r="F402" i="1"/>
  <c r="G402" i="1"/>
  <c r="A402" i="1"/>
  <c r="B402" i="1"/>
  <c r="H402" i="1"/>
  <c r="I402" i="1"/>
  <c r="D2067" i="1"/>
  <c r="E2067" i="1"/>
  <c r="F2067" i="1"/>
  <c r="G2067" i="1"/>
  <c r="A2067" i="1"/>
  <c r="B2067" i="1"/>
  <c r="H2067" i="1"/>
  <c r="I2067" i="1"/>
  <c r="D886" i="1"/>
  <c r="E886" i="1"/>
  <c r="F886" i="1"/>
  <c r="G886" i="1"/>
  <c r="A886" i="1"/>
  <c r="B886" i="1"/>
  <c r="H886" i="1"/>
  <c r="I886" i="1"/>
  <c r="D2056" i="1"/>
  <c r="E2056" i="1"/>
  <c r="F2056" i="1"/>
  <c r="G2056" i="1"/>
  <c r="A2056" i="1"/>
  <c r="B2056" i="1"/>
  <c r="H2056" i="1"/>
  <c r="I2056" i="1"/>
  <c r="D2080" i="1"/>
  <c r="E2080" i="1"/>
  <c r="F2080" i="1"/>
  <c r="G2080" i="1"/>
  <c r="A2080" i="1"/>
  <c r="B2080" i="1"/>
  <c r="H2080" i="1"/>
  <c r="I2080" i="1"/>
  <c r="D783" i="1"/>
  <c r="E783" i="1"/>
  <c r="F783" i="1"/>
  <c r="G783" i="1"/>
  <c r="A783" i="1"/>
  <c r="B783" i="1"/>
  <c r="H783" i="1"/>
  <c r="I783" i="1"/>
  <c r="D2060" i="1"/>
  <c r="E2060" i="1"/>
  <c r="F2060" i="1"/>
  <c r="G2060" i="1"/>
  <c r="A2060" i="1"/>
  <c r="B2060" i="1"/>
  <c r="H2060" i="1"/>
  <c r="I2060" i="1"/>
  <c r="D787" i="1"/>
  <c r="E787" i="1"/>
  <c r="F787" i="1"/>
  <c r="G787" i="1"/>
  <c r="A787" i="1"/>
  <c r="B787" i="1"/>
  <c r="H787" i="1"/>
  <c r="I787" i="1"/>
  <c r="D3360" i="1"/>
  <c r="E3360" i="1"/>
  <c r="F3360" i="1"/>
  <c r="G3360" i="1"/>
  <c r="A3360" i="1"/>
  <c r="B3360" i="1"/>
  <c r="H3360" i="1"/>
  <c r="I3360" i="1"/>
  <c r="D463" i="1"/>
  <c r="E463" i="1"/>
  <c r="F463" i="1"/>
  <c r="G463" i="1"/>
  <c r="A463" i="1"/>
  <c r="B463" i="1"/>
  <c r="H463" i="1"/>
  <c r="I463" i="1"/>
  <c r="D2119" i="1"/>
  <c r="E2119" i="1"/>
  <c r="F2119" i="1"/>
  <c r="G2119" i="1"/>
  <c r="A2119" i="1"/>
  <c r="B2119" i="1"/>
  <c r="H2119" i="1"/>
  <c r="I2119" i="1"/>
  <c r="D851" i="1"/>
  <c r="E851" i="1"/>
  <c r="F851" i="1"/>
  <c r="G851" i="1"/>
  <c r="A851" i="1"/>
  <c r="B851" i="1"/>
  <c r="H851" i="1"/>
  <c r="I851" i="1"/>
  <c r="D2098" i="1"/>
  <c r="E2098" i="1"/>
  <c r="F2098" i="1"/>
  <c r="G2098" i="1"/>
  <c r="A2098" i="1"/>
  <c r="B2098" i="1"/>
  <c r="H2098" i="1"/>
  <c r="I2098" i="1"/>
  <c r="D3056" i="1"/>
  <c r="E3056" i="1"/>
  <c r="F3056" i="1"/>
  <c r="G3056" i="1"/>
  <c r="A3056" i="1"/>
  <c r="B3056" i="1"/>
  <c r="H3056" i="1"/>
  <c r="I3056" i="1"/>
  <c r="D3127" i="1"/>
  <c r="E3127" i="1"/>
  <c r="F3127" i="1"/>
  <c r="G3127" i="1"/>
  <c r="A3127" i="1"/>
  <c r="B3127" i="1"/>
  <c r="H3127" i="1"/>
  <c r="I3127" i="1"/>
  <c r="D2127" i="1"/>
  <c r="E2127" i="1"/>
  <c r="F2127" i="1"/>
  <c r="G2127" i="1"/>
  <c r="A2127" i="1"/>
  <c r="B2127" i="1"/>
  <c r="H2127" i="1"/>
  <c r="I2127" i="1"/>
  <c r="D846" i="1"/>
  <c r="E846" i="1"/>
  <c r="F846" i="1"/>
  <c r="G846" i="1"/>
  <c r="A846" i="1"/>
  <c r="B846" i="1"/>
  <c r="H846" i="1"/>
  <c r="I846" i="1"/>
  <c r="D410" i="1"/>
  <c r="E410" i="1"/>
  <c r="F410" i="1"/>
  <c r="G410" i="1"/>
  <c r="A410" i="1"/>
  <c r="B410" i="1"/>
  <c r="H410" i="1"/>
  <c r="I410" i="1"/>
  <c r="D2122" i="1"/>
  <c r="E2122" i="1"/>
  <c r="F2122" i="1"/>
  <c r="G2122" i="1"/>
  <c r="A2122" i="1"/>
  <c r="B2122" i="1"/>
  <c r="H2122" i="1"/>
  <c r="I2122" i="1"/>
  <c r="D885" i="1"/>
  <c r="E885" i="1"/>
  <c r="F885" i="1"/>
  <c r="G885" i="1"/>
  <c r="A885" i="1"/>
  <c r="B885" i="1"/>
  <c r="H885" i="1"/>
  <c r="I885" i="1"/>
  <c r="D801" i="1"/>
  <c r="E801" i="1"/>
  <c r="F801" i="1"/>
  <c r="G801" i="1"/>
  <c r="A801" i="1"/>
  <c r="B801" i="1"/>
  <c r="H801" i="1"/>
  <c r="I801" i="1"/>
  <c r="D897" i="1"/>
  <c r="E897" i="1"/>
  <c r="F897" i="1"/>
  <c r="G897" i="1"/>
  <c r="A897" i="1"/>
  <c r="B897" i="1"/>
  <c r="H897" i="1"/>
  <c r="I897" i="1"/>
  <c r="D2129" i="1"/>
  <c r="E2129" i="1"/>
  <c r="F2129" i="1"/>
  <c r="G2129" i="1"/>
  <c r="A2129" i="1"/>
  <c r="B2129" i="1"/>
  <c r="H2129" i="1"/>
  <c r="I2129" i="1"/>
  <c r="D3129" i="1"/>
  <c r="E3129" i="1"/>
  <c r="F3129" i="1"/>
  <c r="G3129" i="1"/>
  <c r="A3129" i="1"/>
  <c r="B3129" i="1"/>
  <c r="H3129" i="1"/>
  <c r="I3129" i="1"/>
  <c r="D962" i="1"/>
  <c r="E962" i="1"/>
  <c r="F962" i="1"/>
  <c r="G962" i="1"/>
  <c r="A962" i="1"/>
  <c r="B962" i="1"/>
  <c r="H962" i="1"/>
  <c r="I962" i="1"/>
  <c r="D2137" i="1"/>
  <c r="E2137" i="1"/>
  <c r="F2137" i="1"/>
  <c r="G2137" i="1"/>
  <c r="A2137" i="1"/>
  <c r="B2137" i="1"/>
  <c r="H2137" i="1"/>
  <c r="I2137" i="1"/>
  <c r="D1448" i="1"/>
  <c r="E1448" i="1"/>
  <c r="F1448" i="1"/>
  <c r="G1448" i="1"/>
  <c r="A1448" i="1"/>
  <c r="B1448" i="1"/>
  <c r="H1448" i="1"/>
  <c r="I1448" i="1"/>
  <c r="D3362" i="1"/>
  <c r="E3362" i="1"/>
  <c r="F3362" i="1"/>
  <c r="G3362" i="1"/>
  <c r="A3362" i="1"/>
  <c r="B3362" i="1"/>
  <c r="H3362" i="1"/>
  <c r="I3362" i="1"/>
  <c r="D815" i="1"/>
  <c r="E815" i="1"/>
  <c r="F815" i="1"/>
  <c r="G815" i="1"/>
  <c r="A815" i="1"/>
  <c r="B815" i="1"/>
  <c r="H815" i="1"/>
  <c r="I815" i="1"/>
  <c r="D816" i="1"/>
  <c r="E816" i="1"/>
  <c r="F816" i="1"/>
  <c r="G816" i="1"/>
  <c r="A816" i="1"/>
  <c r="B816" i="1"/>
  <c r="H816" i="1"/>
  <c r="I816" i="1"/>
  <c r="D2100" i="1"/>
  <c r="E2100" i="1"/>
  <c r="F2100" i="1"/>
  <c r="G2100" i="1"/>
  <c r="A2100" i="1"/>
  <c r="B2100" i="1"/>
  <c r="H2100" i="1"/>
  <c r="I2100" i="1"/>
  <c r="D931" i="1"/>
  <c r="E931" i="1"/>
  <c r="F931" i="1"/>
  <c r="G931" i="1"/>
  <c r="A931" i="1"/>
  <c r="B931" i="1"/>
  <c r="H931" i="1"/>
  <c r="I931" i="1"/>
  <c r="D450" i="1"/>
  <c r="E450" i="1"/>
  <c r="F450" i="1"/>
  <c r="G450" i="1"/>
  <c r="A450" i="1"/>
  <c r="B450" i="1"/>
  <c r="H450" i="1"/>
  <c r="I450" i="1"/>
  <c r="D3107" i="1"/>
  <c r="E3107" i="1"/>
  <c r="F3107" i="1"/>
  <c r="G3107" i="1"/>
  <c r="A3107" i="1"/>
  <c r="B3107" i="1"/>
  <c r="H3107" i="1"/>
  <c r="I3107" i="1"/>
  <c r="D951" i="1"/>
  <c r="E951" i="1"/>
  <c r="F951" i="1"/>
  <c r="G951" i="1"/>
  <c r="A951" i="1"/>
  <c r="B951" i="1"/>
  <c r="H951" i="1"/>
  <c r="I951" i="1"/>
  <c r="D1039" i="1"/>
  <c r="E1039" i="1"/>
  <c r="F1039" i="1"/>
  <c r="G1039" i="1"/>
  <c r="A1039" i="1"/>
  <c r="B1039" i="1"/>
  <c r="H1039" i="1"/>
  <c r="I1039" i="1"/>
  <c r="D420" i="1"/>
  <c r="E420" i="1"/>
  <c r="F420" i="1"/>
  <c r="G420" i="1"/>
  <c r="A420" i="1"/>
  <c r="B420" i="1"/>
  <c r="H420" i="1"/>
  <c r="I420" i="1"/>
  <c r="D3060" i="1"/>
  <c r="E3060" i="1"/>
  <c r="F3060" i="1"/>
  <c r="G3060" i="1"/>
  <c r="A3060" i="1"/>
  <c r="B3060" i="1"/>
  <c r="H3060" i="1"/>
  <c r="I3060" i="1"/>
  <c r="D903" i="1"/>
  <c r="E903" i="1"/>
  <c r="F903" i="1"/>
  <c r="G903" i="1"/>
  <c r="A903" i="1"/>
  <c r="B903" i="1"/>
  <c r="H903" i="1"/>
  <c r="I903" i="1"/>
  <c r="D991" i="1"/>
  <c r="E991" i="1"/>
  <c r="F991" i="1"/>
  <c r="G991" i="1"/>
  <c r="A991" i="1"/>
  <c r="B991" i="1"/>
  <c r="H991" i="1"/>
  <c r="I991" i="1"/>
  <c r="D2102" i="1"/>
  <c r="E2102" i="1"/>
  <c r="F2102" i="1"/>
  <c r="G2102" i="1"/>
  <c r="A2102" i="1"/>
  <c r="B2102" i="1"/>
  <c r="H2102" i="1"/>
  <c r="I2102" i="1"/>
  <c r="D3057" i="1"/>
  <c r="E3057" i="1"/>
  <c r="F3057" i="1"/>
  <c r="G3057" i="1"/>
  <c r="A3057" i="1"/>
  <c r="B3057" i="1"/>
  <c r="H3057" i="1"/>
  <c r="I3057" i="1"/>
  <c r="D2089" i="1"/>
  <c r="E2089" i="1"/>
  <c r="F2089" i="1"/>
  <c r="G2089" i="1"/>
  <c r="A2089" i="1"/>
  <c r="B2089" i="1"/>
  <c r="H2089" i="1"/>
  <c r="I2089" i="1"/>
  <c r="D894" i="1"/>
  <c r="E894" i="1"/>
  <c r="F894" i="1"/>
  <c r="G894" i="1"/>
  <c r="A894" i="1"/>
  <c r="B894" i="1"/>
  <c r="H894" i="1"/>
  <c r="I894" i="1"/>
  <c r="D2086" i="1"/>
  <c r="E2086" i="1"/>
  <c r="F2086" i="1"/>
  <c r="G2086" i="1"/>
  <c r="A2086" i="1"/>
  <c r="B2086" i="1"/>
  <c r="H2086" i="1"/>
  <c r="I2086" i="1"/>
  <c r="D902" i="1"/>
  <c r="E902" i="1"/>
  <c r="F902" i="1"/>
  <c r="G902" i="1"/>
  <c r="A902" i="1"/>
  <c r="B902" i="1"/>
  <c r="H902" i="1"/>
  <c r="I902" i="1"/>
  <c r="D909" i="1"/>
  <c r="E909" i="1"/>
  <c r="F909" i="1"/>
  <c r="G909" i="1"/>
  <c r="A909" i="1"/>
  <c r="B909" i="1"/>
  <c r="H909" i="1"/>
  <c r="I909" i="1"/>
  <c r="D954" i="1"/>
  <c r="E954" i="1"/>
  <c r="F954" i="1"/>
  <c r="G954" i="1"/>
  <c r="A954" i="1"/>
  <c r="B954" i="1"/>
  <c r="H954" i="1"/>
  <c r="I954" i="1"/>
  <c r="D840" i="1"/>
  <c r="E840" i="1"/>
  <c r="F840" i="1"/>
  <c r="G840" i="1"/>
  <c r="A840" i="1"/>
  <c r="B840" i="1"/>
  <c r="H840" i="1"/>
  <c r="I840" i="1"/>
  <c r="D795" i="1"/>
  <c r="E795" i="1"/>
  <c r="F795" i="1"/>
  <c r="G795" i="1"/>
  <c r="A795" i="1"/>
  <c r="B795" i="1"/>
  <c r="H795" i="1"/>
  <c r="I795" i="1"/>
  <c r="D1462" i="1"/>
  <c r="E1462" i="1"/>
  <c r="F1462" i="1"/>
  <c r="G1462" i="1"/>
  <c r="A1462" i="1"/>
  <c r="B1462" i="1"/>
  <c r="H1462" i="1"/>
  <c r="I1462" i="1"/>
  <c r="D868" i="1"/>
  <c r="E868" i="1"/>
  <c r="F868" i="1"/>
  <c r="G868" i="1"/>
  <c r="A868" i="1"/>
  <c r="B868" i="1"/>
  <c r="H868" i="1"/>
  <c r="I868" i="1"/>
  <c r="D2074" i="1"/>
  <c r="E2074" i="1"/>
  <c r="F2074" i="1"/>
  <c r="G2074" i="1"/>
  <c r="A2074" i="1"/>
  <c r="B2074" i="1"/>
  <c r="H2074" i="1"/>
  <c r="I2074" i="1"/>
  <c r="D875" i="1"/>
  <c r="E875" i="1"/>
  <c r="F875" i="1"/>
  <c r="G875" i="1"/>
  <c r="A875" i="1"/>
  <c r="B875" i="1"/>
  <c r="H875" i="1"/>
  <c r="I875" i="1"/>
  <c r="D879" i="1"/>
  <c r="E879" i="1"/>
  <c r="F879" i="1"/>
  <c r="G879" i="1"/>
  <c r="A879" i="1"/>
  <c r="B879" i="1"/>
  <c r="H879" i="1"/>
  <c r="I879" i="1"/>
  <c r="D955" i="1"/>
  <c r="E955" i="1"/>
  <c r="F955" i="1"/>
  <c r="G955" i="1"/>
  <c r="A955" i="1"/>
  <c r="B955" i="1"/>
  <c r="H955" i="1"/>
  <c r="I955" i="1"/>
  <c r="D1467" i="1"/>
  <c r="E1467" i="1"/>
  <c r="F1467" i="1"/>
  <c r="G1467" i="1"/>
  <c r="A1467" i="1"/>
  <c r="B1467" i="1"/>
  <c r="H1467" i="1"/>
  <c r="I1467" i="1"/>
  <c r="D835" i="1"/>
  <c r="E835" i="1"/>
  <c r="F835" i="1"/>
  <c r="G835" i="1"/>
  <c r="A835" i="1"/>
  <c r="B835" i="1"/>
  <c r="H835" i="1"/>
  <c r="I835" i="1"/>
  <c r="D2055" i="1"/>
  <c r="E2055" i="1"/>
  <c r="F2055" i="1"/>
  <c r="G2055" i="1"/>
  <c r="A2055" i="1"/>
  <c r="B2055" i="1"/>
  <c r="H2055" i="1"/>
  <c r="I2055" i="1"/>
  <c r="D782" i="1"/>
  <c r="E782" i="1"/>
  <c r="F782" i="1"/>
  <c r="G782" i="1"/>
  <c r="A782" i="1"/>
  <c r="B782" i="1"/>
  <c r="H782" i="1"/>
  <c r="I782" i="1"/>
  <c r="D2094" i="1"/>
  <c r="E2094" i="1"/>
  <c r="F2094" i="1"/>
  <c r="G2094" i="1"/>
  <c r="A2094" i="1"/>
  <c r="B2094" i="1"/>
  <c r="H2094" i="1"/>
  <c r="I2094" i="1"/>
  <c r="D2121" i="1"/>
  <c r="E2121" i="1"/>
  <c r="F2121" i="1"/>
  <c r="G2121" i="1"/>
  <c r="A2121" i="1"/>
  <c r="B2121" i="1"/>
  <c r="H2121" i="1"/>
  <c r="I2121" i="1"/>
  <c r="D2158" i="1"/>
  <c r="E2158" i="1"/>
  <c r="F2158" i="1"/>
  <c r="G2158" i="1"/>
  <c r="A2158" i="1"/>
  <c r="B2158" i="1"/>
  <c r="H2158" i="1"/>
  <c r="I2158" i="1"/>
  <c r="D454" i="1"/>
  <c r="E454" i="1"/>
  <c r="F454" i="1"/>
  <c r="G454" i="1"/>
  <c r="A454" i="1"/>
  <c r="B454" i="1"/>
  <c r="H454" i="1"/>
  <c r="I454" i="1"/>
  <c r="D3134" i="1"/>
  <c r="E3134" i="1"/>
  <c r="F3134" i="1"/>
  <c r="G3134" i="1"/>
  <c r="A3134" i="1"/>
  <c r="B3134" i="1"/>
  <c r="H3134" i="1"/>
  <c r="I3134" i="1"/>
  <c r="D863" i="1"/>
  <c r="E863" i="1"/>
  <c r="F863" i="1"/>
  <c r="G863" i="1"/>
  <c r="A863" i="1"/>
  <c r="B863" i="1"/>
  <c r="H863" i="1"/>
  <c r="I863" i="1"/>
  <c r="D3283" i="1"/>
  <c r="E3283" i="1"/>
  <c r="F3283" i="1"/>
  <c r="G3283" i="1"/>
  <c r="A3283" i="1"/>
  <c r="B3283" i="1"/>
  <c r="H3283" i="1"/>
  <c r="I3283" i="1"/>
  <c r="D873" i="1"/>
  <c r="E873" i="1"/>
  <c r="F873" i="1"/>
  <c r="G873" i="1"/>
  <c r="A873" i="1"/>
  <c r="B873" i="1"/>
  <c r="H873" i="1"/>
  <c r="I873" i="1"/>
  <c r="D2101" i="1"/>
  <c r="E2101" i="1"/>
  <c r="F2101" i="1"/>
  <c r="G2101" i="1"/>
  <c r="A2101" i="1"/>
  <c r="B2101" i="1"/>
  <c r="H2101" i="1"/>
  <c r="I2101" i="1"/>
  <c r="D2061" i="1"/>
  <c r="E2061" i="1"/>
  <c r="F2061" i="1"/>
  <c r="G2061" i="1"/>
  <c r="A2061" i="1"/>
  <c r="B2061" i="1"/>
  <c r="H2061" i="1"/>
  <c r="I2061" i="1"/>
  <c r="D2109" i="1"/>
  <c r="E2109" i="1"/>
  <c r="F2109" i="1"/>
  <c r="G2109" i="1"/>
  <c r="A2109" i="1"/>
  <c r="B2109" i="1"/>
  <c r="H2109" i="1"/>
  <c r="I2109" i="1"/>
  <c r="D1030" i="1"/>
  <c r="E1030" i="1"/>
  <c r="F1030" i="1"/>
  <c r="G1030" i="1"/>
  <c r="A1030" i="1"/>
  <c r="B1030" i="1"/>
  <c r="H1030" i="1"/>
  <c r="I1030" i="1"/>
  <c r="D1031" i="1"/>
  <c r="E1031" i="1"/>
  <c r="F1031" i="1"/>
  <c r="G1031" i="1"/>
  <c r="A1031" i="1"/>
  <c r="B1031" i="1"/>
  <c r="H1031" i="1"/>
  <c r="I1031" i="1"/>
  <c r="D3350" i="1"/>
  <c r="E3350" i="1"/>
  <c r="F3350" i="1"/>
  <c r="G3350" i="1"/>
  <c r="A3350" i="1"/>
  <c r="B3350" i="1"/>
  <c r="H3350" i="1"/>
  <c r="I3350" i="1"/>
  <c r="D2064" i="1"/>
  <c r="E2064" i="1"/>
  <c r="F2064" i="1"/>
  <c r="G2064" i="1"/>
  <c r="A2064" i="1"/>
  <c r="B2064" i="1"/>
  <c r="H2064" i="1"/>
  <c r="I2064" i="1"/>
  <c r="D2068" i="1"/>
  <c r="E2068" i="1"/>
  <c r="F2068" i="1"/>
  <c r="G2068" i="1"/>
  <c r="A2068" i="1"/>
  <c r="B2068" i="1"/>
  <c r="H2068" i="1"/>
  <c r="I2068" i="1"/>
  <c r="D937" i="1"/>
  <c r="E937" i="1"/>
  <c r="F937" i="1"/>
  <c r="G937" i="1"/>
  <c r="A937" i="1"/>
  <c r="B937" i="1"/>
  <c r="H937" i="1"/>
  <c r="I937" i="1"/>
  <c r="D1632" i="1"/>
  <c r="E1632" i="1"/>
  <c r="F1632" i="1"/>
  <c r="G1632" i="1"/>
  <c r="A1632" i="1"/>
  <c r="B1632" i="1"/>
  <c r="H1632" i="1"/>
  <c r="I1632" i="1"/>
  <c r="D907" i="1"/>
  <c r="E907" i="1"/>
  <c r="F907" i="1"/>
  <c r="G907" i="1"/>
  <c r="A907" i="1"/>
  <c r="B907" i="1"/>
  <c r="H907" i="1"/>
  <c r="I907" i="1"/>
  <c r="D1460" i="1"/>
  <c r="E1460" i="1"/>
  <c r="F1460" i="1"/>
  <c r="G1460" i="1"/>
  <c r="A1460" i="1"/>
  <c r="B1460" i="1"/>
  <c r="H1460" i="1"/>
  <c r="I1460" i="1"/>
  <c r="D1445" i="1"/>
  <c r="E1445" i="1"/>
  <c r="F1445" i="1"/>
  <c r="G1445" i="1"/>
  <c r="A1445" i="1"/>
  <c r="B1445" i="1"/>
  <c r="H1445" i="1"/>
  <c r="I1445" i="1"/>
  <c r="D1446" i="1"/>
  <c r="E1446" i="1"/>
  <c r="F1446" i="1"/>
  <c r="G1446" i="1"/>
  <c r="A1446" i="1"/>
  <c r="B1446" i="1"/>
  <c r="H1446" i="1"/>
  <c r="I1446" i="1"/>
  <c r="D3105" i="1"/>
  <c r="E3105" i="1"/>
  <c r="F3105" i="1"/>
  <c r="G3105" i="1"/>
  <c r="A3105" i="1"/>
  <c r="B3105" i="1"/>
  <c r="H3105" i="1"/>
  <c r="I3105" i="1"/>
  <c r="D1466" i="1"/>
  <c r="E1466" i="1"/>
  <c r="F1466" i="1"/>
  <c r="G1466" i="1"/>
  <c r="A1466" i="1"/>
  <c r="B1466" i="1"/>
  <c r="H1466" i="1"/>
  <c r="I1466" i="1"/>
  <c r="D908" i="1"/>
  <c r="E908" i="1"/>
  <c r="F908" i="1"/>
  <c r="G908" i="1"/>
  <c r="A908" i="1"/>
  <c r="B908" i="1"/>
  <c r="H908" i="1"/>
  <c r="I908" i="1"/>
  <c r="D989" i="1"/>
  <c r="E989" i="1"/>
  <c r="F989" i="1"/>
  <c r="G989" i="1"/>
  <c r="A989" i="1"/>
  <c r="B989" i="1"/>
  <c r="H989" i="1"/>
  <c r="I989" i="1"/>
  <c r="D2065" i="1"/>
  <c r="E2065" i="1"/>
  <c r="F2065" i="1"/>
  <c r="G2065" i="1"/>
  <c r="A2065" i="1"/>
  <c r="B2065" i="1"/>
  <c r="H2065" i="1"/>
  <c r="I2065" i="1"/>
  <c r="D1440" i="1"/>
  <c r="E1440" i="1"/>
  <c r="F1440" i="1"/>
  <c r="G1440" i="1"/>
  <c r="A1440" i="1"/>
  <c r="B1440" i="1"/>
  <c r="H1440" i="1"/>
  <c r="I1440" i="1"/>
  <c r="D1441" i="1"/>
  <c r="E1441" i="1"/>
  <c r="F1441" i="1"/>
  <c r="G1441" i="1"/>
  <c r="A1441" i="1"/>
  <c r="B1441" i="1"/>
  <c r="H1441" i="1"/>
  <c r="I1441" i="1"/>
  <c r="D2115" i="1"/>
  <c r="E2115" i="1"/>
  <c r="F2115" i="1"/>
  <c r="G2115" i="1"/>
  <c r="A2115" i="1"/>
  <c r="B2115" i="1"/>
  <c r="H2115" i="1"/>
  <c r="I2115" i="1"/>
  <c r="D2133" i="1"/>
  <c r="E2133" i="1"/>
  <c r="F2133" i="1"/>
  <c r="G2133" i="1"/>
  <c r="A2133" i="1"/>
  <c r="B2133" i="1"/>
  <c r="H2133" i="1"/>
  <c r="I2133" i="1"/>
  <c r="D2091" i="1"/>
  <c r="E2091" i="1"/>
  <c r="F2091" i="1"/>
  <c r="G2091" i="1"/>
  <c r="A2091" i="1"/>
  <c r="B2091" i="1"/>
  <c r="H2091" i="1"/>
  <c r="I2091" i="1"/>
  <c r="D898" i="1"/>
  <c r="E898" i="1"/>
  <c r="F898" i="1"/>
  <c r="G898" i="1"/>
  <c r="A898" i="1"/>
  <c r="B898" i="1"/>
  <c r="H898" i="1"/>
  <c r="I898" i="1"/>
  <c r="D2069" i="1"/>
  <c r="E2069" i="1"/>
  <c r="F2069" i="1"/>
  <c r="G2069" i="1"/>
  <c r="A2069" i="1"/>
  <c r="B2069" i="1"/>
  <c r="H2069" i="1"/>
  <c r="I2069" i="1"/>
  <c r="D1023" i="1"/>
  <c r="E1023" i="1"/>
  <c r="F1023" i="1"/>
  <c r="G1023" i="1"/>
  <c r="A1023" i="1"/>
  <c r="B1023" i="1"/>
  <c r="H1023" i="1"/>
  <c r="I1023" i="1"/>
  <c r="D975" i="1"/>
  <c r="E975" i="1"/>
  <c r="F975" i="1"/>
  <c r="G975" i="1"/>
  <c r="A975" i="1"/>
  <c r="B975" i="1"/>
  <c r="H975" i="1"/>
  <c r="I975" i="1"/>
  <c r="D983" i="1"/>
  <c r="E983" i="1"/>
  <c r="F983" i="1"/>
  <c r="G983" i="1"/>
  <c r="A983" i="1"/>
  <c r="B983" i="1"/>
  <c r="H983" i="1"/>
  <c r="I983" i="1"/>
  <c r="D2097" i="1"/>
  <c r="E2097" i="1"/>
  <c r="F2097" i="1"/>
  <c r="G2097" i="1"/>
  <c r="A2097" i="1"/>
  <c r="B2097" i="1"/>
  <c r="H2097" i="1"/>
  <c r="I2097" i="1"/>
  <c r="D3106" i="1"/>
  <c r="E3106" i="1"/>
  <c r="F3106" i="1"/>
  <c r="G3106" i="1"/>
  <c r="A3106" i="1"/>
  <c r="B3106" i="1"/>
  <c r="H3106" i="1"/>
  <c r="I3106" i="1"/>
  <c r="D884" i="1"/>
  <c r="E884" i="1"/>
  <c r="F884" i="1"/>
  <c r="G884" i="1"/>
  <c r="A884" i="1"/>
  <c r="B884" i="1"/>
  <c r="H884" i="1"/>
  <c r="I884" i="1"/>
  <c r="D2162" i="1"/>
  <c r="E2162" i="1"/>
  <c r="F2162" i="1"/>
  <c r="G2162" i="1"/>
  <c r="A2162" i="1"/>
  <c r="B2162" i="1"/>
  <c r="H2162" i="1"/>
  <c r="I2162" i="1"/>
  <c r="D458" i="1"/>
  <c r="E458" i="1"/>
  <c r="F458" i="1"/>
  <c r="G458" i="1"/>
  <c r="A458" i="1"/>
  <c r="B458" i="1"/>
  <c r="H458" i="1"/>
  <c r="I458" i="1"/>
  <c r="D929" i="1"/>
  <c r="E929" i="1"/>
  <c r="F929" i="1"/>
  <c r="G929" i="1"/>
  <c r="A929" i="1"/>
  <c r="B929" i="1"/>
  <c r="H929" i="1"/>
  <c r="I929" i="1"/>
  <c r="D1233" i="1"/>
  <c r="E1233" i="1"/>
  <c r="F1233" i="1"/>
  <c r="G1233" i="1"/>
  <c r="A1233" i="1"/>
  <c r="B1233" i="1"/>
  <c r="H1233" i="1"/>
  <c r="I1233" i="1"/>
  <c r="D2111" i="1"/>
  <c r="E2111" i="1"/>
  <c r="F2111" i="1"/>
  <c r="G2111" i="1"/>
  <c r="A2111" i="1"/>
  <c r="B2111" i="1"/>
  <c r="H2111" i="1"/>
  <c r="I2111" i="1"/>
  <c r="D2112" i="1"/>
  <c r="E2112" i="1"/>
  <c r="F2112" i="1"/>
  <c r="G2112" i="1"/>
  <c r="A2112" i="1"/>
  <c r="B2112" i="1"/>
  <c r="H2112" i="1"/>
  <c r="I2112" i="1"/>
  <c r="D465" i="1"/>
  <c r="E465" i="1"/>
  <c r="F465" i="1"/>
  <c r="G465" i="1"/>
  <c r="A465" i="1"/>
  <c r="B465" i="1"/>
  <c r="H465" i="1"/>
  <c r="I465" i="1"/>
  <c r="D3364" i="1"/>
  <c r="E3364" i="1"/>
  <c r="F3364" i="1"/>
  <c r="G3364" i="1"/>
  <c r="A3364" i="1"/>
  <c r="B3364" i="1"/>
  <c r="H3364" i="1"/>
  <c r="I3364" i="1"/>
  <c r="D3029" i="1"/>
  <c r="E3029" i="1"/>
  <c r="F3029" i="1"/>
  <c r="G3029" i="1"/>
  <c r="A3029" i="1"/>
  <c r="B3029" i="1"/>
  <c r="H3029" i="1"/>
  <c r="I3029" i="1"/>
  <c r="D2071" i="1"/>
  <c r="E2071" i="1"/>
  <c r="F2071" i="1"/>
  <c r="G2071" i="1"/>
  <c r="A2071" i="1"/>
  <c r="B2071" i="1"/>
  <c r="H2071" i="1"/>
  <c r="I2071" i="1"/>
  <c r="D887" i="1"/>
  <c r="E887" i="1"/>
  <c r="F887" i="1"/>
  <c r="G887" i="1"/>
  <c r="A887" i="1"/>
  <c r="B887" i="1"/>
  <c r="H887" i="1"/>
  <c r="I887" i="1"/>
  <c r="D406" i="1"/>
  <c r="E406" i="1"/>
  <c r="F406" i="1"/>
  <c r="G406" i="1"/>
  <c r="A406" i="1"/>
  <c r="B406" i="1"/>
  <c r="H406" i="1"/>
  <c r="I406" i="1"/>
  <c r="D990" i="1"/>
  <c r="E990" i="1"/>
  <c r="F990" i="1"/>
  <c r="G990" i="1"/>
  <c r="A990" i="1"/>
  <c r="B990" i="1"/>
  <c r="H990" i="1"/>
  <c r="I990" i="1"/>
  <c r="D1465" i="1"/>
  <c r="E1465" i="1"/>
  <c r="F1465" i="1"/>
  <c r="G1465" i="1"/>
  <c r="A1465" i="1"/>
  <c r="B1465" i="1"/>
  <c r="H1465" i="1"/>
  <c r="I1465" i="1"/>
  <c r="D824" i="1"/>
  <c r="E824" i="1"/>
  <c r="F824" i="1"/>
  <c r="G824" i="1"/>
  <c r="A824" i="1"/>
  <c r="B824" i="1"/>
  <c r="H824" i="1"/>
  <c r="I824" i="1"/>
  <c r="D2093" i="1"/>
  <c r="E2093" i="1"/>
  <c r="F2093" i="1"/>
  <c r="G2093" i="1"/>
  <c r="A2093" i="1"/>
  <c r="B2093" i="1"/>
  <c r="H2093" i="1"/>
  <c r="I2093" i="1"/>
  <c r="D3365" i="1"/>
  <c r="E3365" i="1"/>
  <c r="F3365" i="1"/>
  <c r="G3365" i="1"/>
  <c r="A3365" i="1"/>
  <c r="B3365" i="1"/>
  <c r="H3365" i="1"/>
  <c r="I3365" i="1"/>
  <c r="D2090" i="1"/>
  <c r="E2090" i="1"/>
  <c r="F2090" i="1"/>
  <c r="G2090" i="1"/>
  <c r="A2090" i="1"/>
  <c r="B2090" i="1"/>
  <c r="H2090" i="1"/>
  <c r="I2090" i="1"/>
  <c r="D810" i="1"/>
  <c r="E810" i="1"/>
  <c r="F810" i="1"/>
  <c r="G810" i="1"/>
  <c r="A810" i="1"/>
  <c r="B810" i="1"/>
  <c r="H810" i="1"/>
  <c r="I810" i="1"/>
  <c r="D946" i="1"/>
  <c r="E946" i="1"/>
  <c r="F946" i="1"/>
  <c r="G946" i="1"/>
  <c r="A946" i="1"/>
  <c r="B946" i="1"/>
  <c r="H946" i="1"/>
  <c r="I946" i="1"/>
  <c r="D956" i="1"/>
  <c r="E956" i="1"/>
  <c r="F956" i="1"/>
  <c r="G956" i="1"/>
  <c r="A956" i="1"/>
  <c r="B956" i="1"/>
  <c r="H956" i="1"/>
  <c r="I956" i="1"/>
  <c r="D961" i="1"/>
  <c r="E961" i="1"/>
  <c r="F961" i="1"/>
  <c r="G961" i="1"/>
  <c r="A961" i="1"/>
  <c r="B961" i="1"/>
  <c r="H961" i="1"/>
  <c r="I961" i="1"/>
  <c r="D781" i="1"/>
  <c r="E781" i="1"/>
  <c r="F781" i="1"/>
  <c r="G781" i="1"/>
  <c r="A781" i="1"/>
  <c r="B781" i="1"/>
  <c r="H781" i="1"/>
  <c r="I781" i="1"/>
  <c r="D808" i="1"/>
  <c r="E808" i="1"/>
  <c r="F808" i="1"/>
  <c r="G808" i="1"/>
  <c r="A808" i="1"/>
  <c r="B808" i="1"/>
  <c r="H808" i="1"/>
  <c r="I808" i="1"/>
  <c r="D936" i="1"/>
  <c r="E936" i="1"/>
  <c r="F936" i="1"/>
  <c r="G936" i="1"/>
  <c r="A936" i="1"/>
  <c r="B936" i="1"/>
  <c r="H936" i="1"/>
  <c r="I936" i="1"/>
  <c r="D963" i="1"/>
  <c r="E963" i="1"/>
  <c r="F963" i="1"/>
  <c r="G963" i="1"/>
  <c r="A963" i="1"/>
  <c r="B963" i="1"/>
  <c r="H963" i="1"/>
  <c r="I963" i="1"/>
  <c r="D405" i="1"/>
  <c r="E405" i="1"/>
  <c r="F405" i="1"/>
  <c r="G405" i="1"/>
  <c r="A405" i="1"/>
  <c r="B405" i="1"/>
  <c r="H405" i="1"/>
  <c r="I405" i="1"/>
  <c r="D800" i="1"/>
  <c r="E800" i="1"/>
  <c r="F800" i="1"/>
  <c r="G800" i="1"/>
  <c r="A800" i="1"/>
  <c r="B800" i="1"/>
  <c r="H800" i="1"/>
  <c r="I800" i="1"/>
  <c r="D1091" i="1"/>
  <c r="E1091" i="1"/>
  <c r="F1091" i="1"/>
  <c r="G1091" i="1"/>
  <c r="A1091" i="1"/>
  <c r="B1091" i="1"/>
  <c r="H1091" i="1"/>
  <c r="I1091" i="1"/>
  <c r="D823" i="1"/>
  <c r="E823" i="1"/>
  <c r="F823" i="1"/>
  <c r="G823" i="1"/>
  <c r="A823" i="1"/>
  <c r="B823" i="1"/>
  <c r="H823" i="1"/>
  <c r="I823" i="1"/>
  <c r="D2151" i="1"/>
  <c r="E2151" i="1"/>
  <c r="F2151" i="1"/>
  <c r="G2151" i="1"/>
  <c r="A2151" i="1"/>
  <c r="B2151" i="1"/>
  <c r="H2151" i="1"/>
  <c r="I2151" i="1"/>
  <c r="D2076" i="1"/>
  <c r="E2076" i="1"/>
  <c r="F2076" i="1"/>
  <c r="G2076" i="1"/>
  <c r="A2076" i="1"/>
  <c r="B2076" i="1"/>
  <c r="H2076" i="1"/>
  <c r="I2076" i="1"/>
  <c r="D896" i="1"/>
  <c r="E896" i="1"/>
  <c r="F896" i="1"/>
  <c r="G896" i="1"/>
  <c r="A896" i="1"/>
  <c r="B896" i="1"/>
  <c r="H896" i="1"/>
  <c r="I896" i="1"/>
  <c r="D933" i="1"/>
  <c r="E933" i="1"/>
  <c r="F933" i="1"/>
  <c r="G933" i="1"/>
  <c r="A933" i="1"/>
  <c r="B933" i="1"/>
  <c r="H933" i="1"/>
  <c r="I933" i="1"/>
  <c r="D456" i="1"/>
  <c r="E456" i="1"/>
  <c r="F456" i="1"/>
  <c r="G456" i="1"/>
  <c r="A456" i="1"/>
  <c r="B456" i="1"/>
  <c r="H456" i="1"/>
  <c r="I456" i="1"/>
  <c r="D2116" i="1"/>
  <c r="E2116" i="1"/>
  <c r="F2116" i="1"/>
  <c r="G2116" i="1"/>
  <c r="A2116" i="1"/>
  <c r="B2116" i="1"/>
  <c r="H2116" i="1"/>
  <c r="I2116" i="1"/>
  <c r="D889" i="1"/>
  <c r="E889" i="1"/>
  <c r="F889" i="1"/>
  <c r="G889" i="1"/>
  <c r="A889" i="1"/>
  <c r="B889" i="1"/>
  <c r="H889" i="1"/>
  <c r="I889" i="1"/>
  <c r="D2165" i="1"/>
  <c r="E2165" i="1"/>
  <c r="F2165" i="1"/>
  <c r="G2165" i="1"/>
  <c r="A2165" i="1"/>
  <c r="B2165" i="1"/>
  <c r="H2165" i="1"/>
  <c r="I2165" i="1"/>
  <c r="D926" i="1"/>
  <c r="E926" i="1"/>
  <c r="F926" i="1"/>
  <c r="G926" i="1"/>
  <c r="A926" i="1"/>
  <c r="B926" i="1"/>
  <c r="H926" i="1"/>
  <c r="I926" i="1"/>
  <c r="D942" i="1"/>
  <c r="E942" i="1"/>
  <c r="F942" i="1"/>
  <c r="G942" i="1"/>
  <c r="A942" i="1"/>
  <c r="B942" i="1"/>
  <c r="H942" i="1"/>
  <c r="I942" i="1"/>
  <c r="D459" i="1"/>
  <c r="E459" i="1"/>
  <c r="F459" i="1"/>
  <c r="G459" i="1"/>
  <c r="A459" i="1"/>
  <c r="B459" i="1"/>
  <c r="H459" i="1"/>
  <c r="I459" i="1"/>
  <c r="D892" i="1"/>
  <c r="E892" i="1"/>
  <c r="F892" i="1"/>
  <c r="G892" i="1"/>
  <c r="A892" i="1"/>
  <c r="B892" i="1"/>
  <c r="H892" i="1"/>
  <c r="I892" i="1"/>
  <c r="D2130" i="1"/>
  <c r="E2130" i="1"/>
  <c r="F2130" i="1"/>
  <c r="G2130" i="1"/>
  <c r="A2130" i="1"/>
  <c r="B2130" i="1"/>
  <c r="H2130" i="1"/>
  <c r="I2130" i="1"/>
  <c r="D1459" i="1"/>
  <c r="E1459" i="1"/>
  <c r="F1459" i="1"/>
  <c r="G1459" i="1"/>
  <c r="A1459" i="1"/>
  <c r="B1459" i="1"/>
  <c r="H1459" i="1"/>
  <c r="I1459" i="1"/>
  <c r="D910" i="1"/>
  <c r="E910" i="1"/>
  <c r="F910" i="1"/>
  <c r="G910" i="1"/>
  <c r="A910" i="1"/>
  <c r="B910" i="1"/>
  <c r="H910" i="1"/>
  <c r="I910" i="1"/>
  <c r="D918" i="1"/>
  <c r="E918" i="1"/>
  <c r="F918" i="1"/>
  <c r="G918" i="1"/>
  <c r="A918" i="1"/>
  <c r="B918" i="1"/>
  <c r="H918" i="1"/>
  <c r="I918" i="1"/>
  <c r="D943" i="1"/>
  <c r="E943" i="1"/>
  <c r="F943" i="1"/>
  <c r="G943" i="1"/>
  <c r="A943" i="1"/>
  <c r="B943" i="1"/>
  <c r="H943" i="1"/>
  <c r="I943" i="1"/>
  <c r="D755" i="1"/>
  <c r="E755" i="1"/>
  <c r="F755" i="1"/>
  <c r="G755" i="1"/>
  <c r="A755" i="1"/>
  <c r="B755" i="1"/>
  <c r="H755" i="1"/>
  <c r="I755" i="1"/>
  <c r="D3119" i="1"/>
  <c r="E3119" i="1"/>
  <c r="F3119" i="1"/>
  <c r="G3119" i="1"/>
  <c r="A3119" i="1"/>
  <c r="B3119" i="1"/>
  <c r="H3119" i="1"/>
  <c r="I3119" i="1"/>
  <c r="D1147" i="1"/>
  <c r="E1147" i="1"/>
  <c r="F1147" i="1"/>
  <c r="G1147" i="1"/>
  <c r="A1147" i="1"/>
  <c r="B1147" i="1"/>
  <c r="H1147" i="1"/>
  <c r="I1147" i="1"/>
  <c r="D1151" i="1"/>
  <c r="E1151" i="1"/>
  <c r="F1151" i="1"/>
  <c r="G1151" i="1"/>
  <c r="A1151" i="1"/>
  <c r="B1151" i="1"/>
  <c r="H1151" i="1"/>
  <c r="I1151" i="1"/>
  <c r="D759" i="1"/>
  <c r="E759" i="1"/>
  <c r="F759" i="1"/>
  <c r="G759" i="1"/>
  <c r="A759" i="1"/>
  <c r="B759" i="1"/>
  <c r="H759" i="1"/>
  <c r="I759" i="1"/>
  <c r="D2265" i="1"/>
  <c r="E2265" i="1"/>
  <c r="F2265" i="1"/>
  <c r="G2265" i="1"/>
  <c r="A2265" i="1"/>
  <c r="B2265" i="1"/>
  <c r="H2265" i="1"/>
  <c r="I2265" i="1"/>
  <c r="D2583" i="1"/>
  <c r="E2583" i="1"/>
  <c r="F2583" i="1"/>
  <c r="G2583" i="1"/>
  <c r="A2583" i="1"/>
  <c r="B2583" i="1"/>
  <c r="H2583" i="1"/>
  <c r="I2583" i="1"/>
  <c r="D761" i="1"/>
  <c r="E761" i="1"/>
  <c r="F761" i="1"/>
  <c r="G761" i="1"/>
  <c r="A761" i="1"/>
  <c r="B761" i="1"/>
  <c r="H761" i="1"/>
  <c r="I761" i="1"/>
  <c r="D2582" i="1"/>
  <c r="E2582" i="1"/>
  <c r="F2582" i="1"/>
  <c r="G2582" i="1"/>
  <c r="A2582" i="1"/>
  <c r="B2582" i="1"/>
  <c r="H2582" i="1"/>
  <c r="I2582" i="1"/>
  <c r="D2262" i="1"/>
  <c r="E2262" i="1"/>
  <c r="F2262" i="1"/>
  <c r="G2262" i="1"/>
  <c r="A2262" i="1"/>
  <c r="B2262" i="1"/>
  <c r="H2262" i="1"/>
  <c r="I2262" i="1"/>
  <c r="D757" i="1"/>
  <c r="E757" i="1"/>
  <c r="F757" i="1"/>
  <c r="G757" i="1"/>
  <c r="A757" i="1"/>
  <c r="B757" i="1"/>
  <c r="H757" i="1"/>
  <c r="I757" i="1"/>
  <c r="D2200" i="1"/>
  <c r="E2200" i="1"/>
  <c r="F2200" i="1"/>
  <c r="G2200" i="1"/>
  <c r="A2200" i="1"/>
  <c r="B2200" i="1"/>
  <c r="H2200" i="1"/>
  <c r="I2200" i="1"/>
  <c r="D3284" i="1"/>
  <c r="E3284" i="1"/>
  <c r="F3284" i="1"/>
  <c r="G3284" i="1"/>
  <c r="A3284" i="1"/>
  <c r="B3284" i="1"/>
  <c r="H3284" i="1"/>
  <c r="I3284" i="1"/>
  <c r="D3027" i="1"/>
  <c r="E3027" i="1"/>
  <c r="F3027" i="1"/>
  <c r="G3027" i="1"/>
  <c r="A3027" i="1"/>
  <c r="B3027" i="1"/>
  <c r="H3027" i="1"/>
  <c r="I3027" i="1"/>
  <c r="D756" i="1"/>
  <c r="E756" i="1"/>
  <c r="F756" i="1"/>
  <c r="G756" i="1"/>
  <c r="A756" i="1"/>
  <c r="B756" i="1"/>
  <c r="H756" i="1"/>
  <c r="I756" i="1"/>
  <c r="D3276" i="1"/>
  <c r="E3276" i="1"/>
  <c r="F3276" i="1"/>
  <c r="G3276" i="1"/>
  <c r="A3276" i="1"/>
  <c r="B3276" i="1"/>
  <c r="H3276" i="1"/>
  <c r="I3276" i="1"/>
  <c r="D1148" i="1"/>
  <c r="E1148" i="1"/>
  <c r="F1148" i="1"/>
  <c r="G1148" i="1"/>
  <c r="A1148" i="1"/>
  <c r="B1148" i="1"/>
  <c r="H1148" i="1"/>
  <c r="I1148" i="1"/>
  <c r="D2201" i="1"/>
  <c r="E2201" i="1"/>
  <c r="F2201" i="1"/>
  <c r="G2201" i="1"/>
  <c r="A2201" i="1"/>
  <c r="B2201" i="1"/>
  <c r="H2201" i="1"/>
  <c r="I2201" i="1"/>
  <c r="D2264" i="1"/>
  <c r="E2264" i="1"/>
  <c r="F2264" i="1"/>
  <c r="G2264" i="1"/>
  <c r="A2264" i="1"/>
  <c r="B2264" i="1"/>
  <c r="H2264" i="1"/>
  <c r="I2264" i="1"/>
  <c r="D2584" i="1"/>
  <c r="E2584" i="1"/>
  <c r="F2584" i="1"/>
  <c r="G2584" i="1"/>
  <c r="A2584" i="1"/>
  <c r="B2584" i="1"/>
  <c r="H2584" i="1"/>
  <c r="I2584" i="1"/>
  <c r="D1152" i="1"/>
  <c r="E1152" i="1"/>
  <c r="F1152" i="1"/>
  <c r="G1152" i="1"/>
  <c r="A1152" i="1"/>
  <c r="B1152" i="1"/>
  <c r="H1152" i="1"/>
  <c r="I1152" i="1"/>
  <c r="D758" i="1"/>
  <c r="E758" i="1"/>
  <c r="F758" i="1"/>
  <c r="G758" i="1"/>
  <c r="A758" i="1"/>
  <c r="B758" i="1"/>
  <c r="H758" i="1"/>
  <c r="I758" i="1"/>
  <c r="D762" i="1"/>
  <c r="E762" i="1"/>
  <c r="F762" i="1"/>
  <c r="G762" i="1"/>
  <c r="A762" i="1"/>
  <c r="B762" i="1"/>
  <c r="H762" i="1"/>
  <c r="I762" i="1"/>
  <c r="D3121" i="1"/>
  <c r="E3121" i="1"/>
  <c r="F3121" i="1"/>
  <c r="G3121" i="1"/>
  <c r="A3121" i="1"/>
  <c r="B3121" i="1"/>
  <c r="H3121" i="1"/>
  <c r="I3121" i="1"/>
  <c r="D2954" i="1"/>
  <c r="E2954" i="1"/>
  <c r="F2954" i="1"/>
  <c r="G2954" i="1"/>
  <c r="A2954" i="1"/>
  <c r="B2954" i="1"/>
  <c r="H2954" i="1"/>
  <c r="I2954" i="1"/>
  <c r="D3120" i="1"/>
  <c r="E3120" i="1"/>
  <c r="F3120" i="1"/>
  <c r="G3120" i="1"/>
  <c r="A3120" i="1"/>
  <c r="B3120" i="1"/>
  <c r="H3120" i="1"/>
  <c r="I3120" i="1"/>
  <c r="D3331" i="1"/>
  <c r="E3331" i="1"/>
  <c r="F3331" i="1"/>
  <c r="G3331" i="1"/>
  <c r="A3331" i="1"/>
  <c r="B3331" i="1"/>
  <c r="H3331" i="1"/>
  <c r="I3331" i="1"/>
  <c r="D2551" i="1"/>
  <c r="E2551" i="1"/>
  <c r="F2551" i="1"/>
  <c r="G2551" i="1"/>
  <c r="A2551" i="1"/>
  <c r="B2551" i="1"/>
  <c r="H2551" i="1"/>
  <c r="I2551" i="1"/>
  <c r="D2581" i="1"/>
  <c r="E2581" i="1"/>
  <c r="F2581" i="1"/>
  <c r="G2581" i="1"/>
  <c r="A2581" i="1"/>
  <c r="B2581" i="1"/>
  <c r="H2581" i="1"/>
  <c r="I2581" i="1"/>
  <c r="D2261" i="1"/>
  <c r="E2261" i="1"/>
  <c r="F2261" i="1"/>
  <c r="G2261" i="1"/>
  <c r="A2261" i="1"/>
  <c r="B2261" i="1"/>
  <c r="H2261" i="1"/>
  <c r="I2261" i="1"/>
  <c r="D2585" i="1"/>
  <c r="E2585" i="1"/>
  <c r="F2585" i="1"/>
  <c r="G2585" i="1"/>
  <c r="A2585" i="1"/>
  <c r="B2585" i="1"/>
  <c r="H2585" i="1"/>
  <c r="I2585" i="1"/>
  <c r="D2825" i="1"/>
  <c r="E2825" i="1"/>
  <c r="F2825" i="1"/>
  <c r="G2825" i="1"/>
  <c r="A2825" i="1"/>
  <c r="B2825" i="1"/>
  <c r="H2825" i="1"/>
  <c r="I2825" i="1"/>
  <c r="D2263" i="1"/>
  <c r="E2263" i="1"/>
  <c r="F2263" i="1"/>
  <c r="G2263" i="1"/>
  <c r="A2263" i="1"/>
  <c r="B2263" i="1"/>
  <c r="H2263" i="1"/>
  <c r="I2263" i="1"/>
  <c r="D412" i="1"/>
  <c r="E412" i="1"/>
  <c r="F412" i="1"/>
  <c r="G412" i="1"/>
  <c r="A412" i="1"/>
  <c r="B412" i="1"/>
  <c r="H412" i="1"/>
  <c r="I412" i="1"/>
  <c r="D1150" i="1"/>
  <c r="E1150" i="1"/>
  <c r="F1150" i="1"/>
  <c r="G1150" i="1"/>
  <c r="A1150" i="1"/>
  <c r="B1150" i="1"/>
  <c r="H1150" i="1"/>
  <c r="I1150" i="1"/>
  <c r="D1195" i="1"/>
  <c r="E1195" i="1"/>
  <c r="F1195" i="1"/>
  <c r="G1195" i="1"/>
  <c r="A1195" i="1"/>
  <c r="B1195" i="1"/>
  <c r="H1195" i="1"/>
  <c r="I1195" i="1"/>
  <c r="D1196" i="1"/>
  <c r="E1196" i="1"/>
  <c r="F1196" i="1"/>
  <c r="G1196" i="1"/>
  <c r="A1196" i="1"/>
  <c r="B1196" i="1"/>
  <c r="H1196" i="1"/>
  <c r="I1196" i="1"/>
  <c r="D1199" i="1"/>
  <c r="E1199" i="1"/>
  <c r="F1199" i="1"/>
  <c r="G1199" i="1"/>
  <c r="A1199" i="1"/>
  <c r="B1199" i="1"/>
  <c r="H1199" i="1"/>
  <c r="I1199" i="1"/>
  <c r="D3383" i="1"/>
  <c r="E3383" i="1"/>
  <c r="F3383" i="1"/>
  <c r="G3383" i="1"/>
  <c r="A3383" i="1"/>
  <c r="B3383" i="1"/>
  <c r="H3383" i="1"/>
  <c r="I3383" i="1"/>
  <c r="D1193" i="1"/>
  <c r="E1193" i="1"/>
  <c r="F1193" i="1"/>
  <c r="G1193" i="1"/>
  <c r="A1193" i="1"/>
  <c r="B1193" i="1"/>
  <c r="H1193" i="1"/>
  <c r="I1193" i="1"/>
  <c r="D1197" i="1"/>
  <c r="E1197" i="1"/>
  <c r="F1197" i="1"/>
  <c r="G1197" i="1"/>
  <c r="A1197" i="1"/>
  <c r="B1197" i="1"/>
  <c r="H1197" i="1"/>
  <c r="I1197" i="1"/>
  <c r="D1187" i="1"/>
  <c r="E1187" i="1"/>
  <c r="F1187" i="1"/>
  <c r="G1187" i="1"/>
  <c r="A1187" i="1"/>
  <c r="B1187" i="1"/>
  <c r="H1187" i="1"/>
  <c r="I1187" i="1"/>
  <c r="D2328" i="1"/>
  <c r="E2328" i="1"/>
  <c r="F2328" i="1"/>
  <c r="G2328" i="1"/>
  <c r="A2328" i="1"/>
  <c r="B2328" i="1"/>
  <c r="H2328" i="1"/>
  <c r="I2328" i="1"/>
  <c r="D1198" i="1"/>
  <c r="E1198" i="1"/>
  <c r="F1198" i="1"/>
  <c r="G1198" i="1"/>
  <c r="A1198" i="1"/>
  <c r="B1198" i="1"/>
  <c r="H1198" i="1"/>
  <c r="I1198" i="1"/>
  <c r="D2578" i="1"/>
  <c r="E2578" i="1"/>
  <c r="F2578" i="1"/>
  <c r="G2578" i="1"/>
  <c r="A2578" i="1"/>
  <c r="B2578" i="1"/>
  <c r="H2578" i="1"/>
  <c r="I2578" i="1"/>
  <c r="D3224" i="1"/>
  <c r="E3224" i="1"/>
  <c r="F3224" i="1"/>
  <c r="G3224" i="1"/>
  <c r="A3224" i="1"/>
  <c r="B3224" i="1"/>
  <c r="H3224" i="1"/>
  <c r="I3224" i="1"/>
  <c r="D3225" i="1"/>
  <c r="E3225" i="1"/>
  <c r="F3225" i="1"/>
  <c r="G3225" i="1"/>
  <c r="A3225" i="1"/>
  <c r="B3225" i="1"/>
  <c r="H3225" i="1"/>
  <c r="I3225" i="1"/>
  <c r="D1178" i="1"/>
  <c r="E1178" i="1"/>
  <c r="F1178" i="1"/>
  <c r="G1178" i="1"/>
  <c r="A1178" i="1"/>
  <c r="B1178" i="1"/>
  <c r="H1178" i="1"/>
  <c r="I1178" i="1"/>
  <c r="D2332" i="1"/>
  <c r="E2332" i="1"/>
  <c r="F2332" i="1"/>
  <c r="G2332" i="1"/>
  <c r="A2332" i="1"/>
  <c r="B2332" i="1"/>
  <c r="H2332" i="1"/>
  <c r="I2332" i="1"/>
  <c r="D293" i="1"/>
  <c r="E293" i="1"/>
  <c r="F293" i="1"/>
  <c r="G293" i="1"/>
  <c r="A293" i="1"/>
  <c r="B293" i="1"/>
  <c r="H293" i="1"/>
  <c r="I293" i="1"/>
  <c r="D2964" i="1"/>
  <c r="E2964" i="1"/>
  <c r="F2964" i="1"/>
  <c r="G2964" i="1"/>
  <c r="A2964" i="1"/>
  <c r="B2964" i="1"/>
  <c r="H2964" i="1"/>
  <c r="I2964" i="1"/>
  <c r="D3301" i="1"/>
  <c r="E3301" i="1"/>
  <c r="F3301" i="1"/>
  <c r="G3301" i="1"/>
  <c r="A3301" i="1"/>
  <c r="B3301" i="1"/>
  <c r="H3301" i="1"/>
  <c r="I3301" i="1"/>
  <c r="D3226" i="1"/>
  <c r="E3226" i="1"/>
  <c r="F3226" i="1"/>
  <c r="G3226" i="1"/>
  <c r="A3226" i="1"/>
  <c r="B3226" i="1"/>
  <c r="H3226" i="1"/>
  <c r="I3226" i="1"/>
  <c r="D1893" i="1"/>
  <c r="E1893" i="1"/>
  <c r="F1893" i="1"/>
  <c r="G1893" i="1"/>
  <c r="A1893" i="1"/>
  <c r="B1893" i="1"/>
  <c r="H1893" i="1"/>
  <c r="I1893" i="1"/>
  <c r="D2335" i="1"/>
  <c r="E2335" i="1"/>
  <c r="F2335" i="1"/>
  <c r="G2335" i="1"/>
  <c r="A2335" i="1"/>
  <c r="B2335" i="1"/>
  <c r="H2335" i="1"/>
  <c r="I2335" i="1"/>
  <c r="D2330" i="1"/>
  <c r="E2330" i="1"/>
  <c r="F2330" i="1"/>
  <c r="G2330" i="1"/>
  <c r="A2330" i="1"/>
  <c r="B2330" i="1"/>
  <c r="H2330" i="1"/>
  <c r="I2330" i="1"/>
  <c r="D3223" i="1"/>
  <c r="E3223" i="1"/>
  <c r="F3223" i="1"/>
  <c r="G3223" i="1"/>
  <c r="A3223" i="1"/>
  <c r="B3223" i="1"/>
  <c r="H3223" i="1"/>
  <c r="I3223" i="1"/>
  <c r="D1194" i="1"/>
  <c r="E1194" i="1"/>
  <c r="F1194" i="1"/>
  <c r="G1194" i="1"/>
  <c r="A1194" i="1"/>
  <c r="B1194" i="1"/>
  <c r="H1194" i="1"/>
  <c r="I1194" i="1"/>
  <c r="D2334" i="1"/>
  <c r="E2334" i="1"/>
  <c r="F2334" i="1"/>
  <c r="G2334" i="1"/>
  <c r="A2334" i="1"/>
  <c r="B2334" i="1"/>
  <c r="H2334" i="1"/>
  <c r="I2334" i="1"/>
  <c r="D2957" i="1"/>
  <c r="E2957" i="1"/>
  <c r="F2957" i="1"/>
  <c r="G2957" i="1"/>
  <c r="A2957" i="1"/>
  <c r="B2957" i="1"/>
  <c r="H2957" i="1"/>
  <c r="I2957" i="1"/>
  <c r="D1188" i="1"/>
  <c r="E1188" i="1"/>
  <c r="F1188" i="1"/>
  <c r="G1188" i="1"/>
  <c r="A1188" i="1"/>
  <c r="B1188" i="1"/>
  <c r="H1188" i="1"/>
  <c r="I1188" i="1"/>
  <c r="D3220" i="1"/>
  <c r="E3220" i="1"/>
  <c r="F3220" i="1"/>
  <c r="G3220" i="1"/>
  <c r="A3220" i="1"/>
  <c r="B3220" i="1"/>
  <c r="H3220" i="1"/>
  <c r="I3220" i="1"/>
  <c r="D3279" i="1"/>
  <c r="E3279" i="1"/>
  <c r="F3279" i="1"/>
  <c r="G3279" i="1"/>
  <c r="A3279" i="1"/>
  <c r="B3279" i="1"/>
  <c r="H3279" i="1"/>
  <c r="I3279" i="1"/>
  <c r="D292" i="1"/>
  <c r="E292" i="1"/>
  <c r="F292" i="1"/>
  <c r="G292" i="1"/>
  <c r="A292" i="1"/>
  <c r="B292" i="1"/>
  <c r="H292" i="1"/>
  <c r="I292" i="1"/>
  <c r="D2331" i="1"/>
  <c r="E2331" i="1"/>
  <c r="F2331" i="1"/>
  <c r="G2331" i="1"/>
  <c r="A2331" i="1"/>
  <c r="B2331" i="1"/>
  <c r="H2331" i="1"/>
  <c r="I2331" i="1"/>
  <c r="D2572" i="1"/>
  <c r="E2572" i="1"/>
  <c r="F2572" i="1"/>
  <c r="G2572" i="1"/>
  <c r="A2572" i="1"/>
  <c r="B2572" i="1"/>
  <c r="H2572" i="1"/>
  <c r="I2572" i="1"/>
  <c r="D1191" i="1"/>
  <c r="E1191" i="1"/>
  <c r="F1191" i="1"/>
  <c r="G1191" i="1"/>
  <c r="A1191" i="1"/>
  <c r="B1191" i="1"/>
  <c r="H1191" i="1"/>
  <c r="I1191" i="1"/>
  <c r="D1177" i="1"/>
  <c r="E1177" i="1"/>
  <c r="F1177" i="1"/>
  <c r="G1177" i="1"/>
  <c r="A1177" i="1"/>
  <c r="B1177" i="1"/>
  <c r="H1177" i="1"/>
  <c r="I1177" i="1"/>
  <c r="D2571" i="1"/>
  <c r="E2571" i="1"/>
  <c r="F2571" i="1"/>
  <c r="G2571" i="1"/>
  <c r="A2571" i="1"/>
  <c r="B2571" i="1"/>
  <c r="H2571" i="1"/>
  <c r="I2571" i="1"/>
  <c r="D3221" i="1"/>
  <c r="E3221" i="1"/>
  <c r="F3221" i="1"/>
  <c r="G3221" i="1"/>
  <c r="A3221" i="1"/>
  <c r="B3221" i="1"/>
  <c r="H3221" i="1"/>
  <c r="I3221" i="1"/>
  <c r="D2329" i="1"/>
  <c r="E2329" i="1"/>
  <c r="F2329" i="1"/>
  <c r="G2329" i="1"/>
  <c r="A2329" i="1"/>
  <c r="B2329" i="1"/>
  <c r="H2329" i="1"/>
  <c r="I2329" i="1"/>
  <c r="D3064" i="1"/>
  <c r="E3064" i="1"/>
  <c r="F3064" i="1"/>
  <c r="G3064" i="1"/>
  <c r="A3064" i="1"/>
  <c r="B3064" i="1"/>
  <c r="H3064" i="1"/>
  <c r="I3064" i="1"/>
  <c r="D1192" i="1"/>
  <c r="E1192" i="1"/>
  <c r="F1192" i="1"/>
  <c r="G1192" i="1"/>
  <c r="A1192" i="1"/>
  <c r="B1192" i="1"/>
  <c r="H1192" i="1"/>
  <c r="I1192" i="1"/>
  <c r="D1182" i="1"/>
  <c r="E1182" i="1"/>
  <c r="F1182" i="1"/>
  <c r="G1182" i="1"/>
  <c r="A1182" i="1"/>
  <c r="B1182" i="1"/>
  <c r="H1182" i="1"/>
  <c r="I1182" i="1"/>
  <c r="D2575" i="1"/>
  <c r="E2575" i="1"/>
  <c r="F2575" i="1"/>
  <c r="G2575" i="1"/>
  <c r="A2575" i="1"/>
  <c r="B2575" i="1"/>
  <c r="H2575" i="1"/>
  <c r="I2575" i="1"/>
  <c r="D2574" i="1"/>
  <c r="E2574" i="1"/>
  <c r="F2574" i="1"/>
  <c r="G2574" i="1"/>
  <c r="A2574" i="1"/>
  <c r="B2574" i="1"/>
  <c r="H2574" i="1"/>
  <c r="I2574" i="1"/>
  <c r="D1179" i="1"/>
  <c r="E1179" i="1"/>
  <c r="F1179" i="1"/>
  <c r="G1179" i="1"/>
  <c r="A1179" i="1"/>
  <c r="B1179" i="1"/>
  <c r="H1179" i="1"/>
  <c r="I1179" i="1"/>
  <c r="D1175" i="1"/>
  <c r="E1175" i="1"/>
  <c r="F1175" i="1"/>
  <c r="G1175" i="1"/>
  <c r="A1175" i="1"/>
  <c r="B1175" i="1"/>
  <c r="H1175" i="1"/>
  <c r="I1175" i="1"/>
  <c r="D3334" i="1"/>
  <c r="E3334" i="1"/>
  <c r="F3334" i="1"/>
  <c r="G3334" i="1"/>
  <c r="A3334" i="1"/>
  <c r="B3334" i="1"/>
  <c r="H3334" i="1"/>
  <c r="I3334" i="1"/>
  <c r="D1184" i="1"/>
  <c r="E1184" i="1"/>
  <c r="F1184" i="1"/>
  <c r="G1184" i="1"/>
  <c r="A1184" i="1"/>
  <c r="B1184" i="1"/>
  <c r="H1184" i="1"/>
  <c r="I1184" i="1"/>
  <c r="D3384" i="1"/>
  <c r="E3384" i="1"/>
  <c r="F3384" i="1"/>
  <c r="G3384" i="1"/>
  <c r="A3384" i="1"/>
  <c r="B3384" i="1"/>
  <c r="H3384" i="1"/>
  <c r="I3384" i="1"/>
  <c r="D2327" i="1"/>
  <c r="E2327" i="1"/>
  <c r="F2327" i="1"/>
  <c r="G2327" i="1"/>
  <c r="A2327" i="1"/>
  <c r="B2327" i="1"/>
  <c r="H2327" i="1"/>
  <c r="I2327" i="1"/>
  <c r="D3320" i="1"/>
  <c r="E3320" i="1"/>
  <c r="F3320" i="1"/>
  <c r="G3320" i="1"/>
  <c r="A3320" i="1"/>
  <c r="B3320" i="1"/>
  <c r="H3320" i="1"/>
  <c r="I3320" i="1"/>
  <c r="D1183" i="1"/>
  <c r="E1183" i="1"/>
  <c r="F1183" i="1"/>
  <c r="G1183" i="1"/>
  <c r="A1183" i="1"/>
  <c r="B1183" i="1"/>
  <c r="H1183" i="1"/>
  <c r="I1183" i="1"/>
  <c r="D1186" i="1"/>
  <c r="E1186" i="1"/>
  <c r="F1186" i="1"/>
  <c r="G1186" i="1"/>
  <c r="A1186" i="1"/>
  <c r="B1186" i="1"/>
  <c r="H1186" i="1"/>
  <c r="I1186" i="1"/>
  <c r="D3280" i="1"/>
  <c r="E3280" i="1"/>
  <c r="F3280" i="1"/>
  <c r="G3280" i="1"/>
  <c r="A3280" i="1"/>
  <c r="B3280" i="1"/>
  <c r="H3280" i="1"/>
  <c r="I3280" i="1"/>
  <c r="D2333" i="1"/>
  <c r="E2333" i="1"/>
  <c r="F2333" i="1"/>
  <c r="G2333" i="1"/>
  <c r="A2333" i="1"/>
  <c r="B2333" i="1"/>
  <c r="H2333" i="1"/>
  <c r="I2333" i="1"/>
  <c r="D2791" i="1"/>
  <c r="E2791" i="1"/>
  <c r="F2791" i="1"/>
  <c r="G2791" i="1"/>
  <c r="A2791" i="1"/>
  <c r="B2791" i="1"/>
  <c r="H2791" i="1"/>
  <c r="I2791" i="1"/>
  <c r="D136" i="1"/>
  <c r="E136" i="1"/>
  <c r="F136" i="1"/>
  <c r="G136" i="1"/>
  <c r="A136" i="1"/>
  <c r="B136" i="1"/>
  <c r="H136" i="1"/>
  <c r="I136" i="1"/>
  <c r="D2573" i="1"/>
  <c r="E2573" i="1"/>
  <c r="F2573" i="1"/>
  <c r="G2573" i="1"/>
  <c r="A2573" i="1"/>
  <c r="B2573" i="1"/>
  <c r="H2573" i="1"/>
  <c r="I2573" i="1"/>
  <c r="D1190" i="1"/>
  <c r="E1190" i="1"/>
  <c r="F1190" i="1"/>
  <c r="G1190" i="1"/>
  <c r="A1190" i="1"/>
  <c r="B1190" i="1"/>
  <c r="H1190" i="1"/>
  <c r="I1190" i="1"/>
  <c r="D3321" i="1"/>
  <c r="E3321" i="1"/>
  <c r="F3321" i="1"/>
  <c r="G3321" i="1"/>
  <c r="A3321" i="1"/>
  <c r="B3321" i="1"/>
  <c r="H3321" i="1"/>
  <c r="I3321" i="1"/>
  <c r="D3548" i="1"/>
  <c r="E3548" i="1"/>
  <c r="F3548" i="1"/>
  <c r="G3548" i="1"/>
  <c r="A3548" i="1"/>
  <c r="B3548" i="1"/>
  <c r="H3548" i="1"/>
  <c r="I3548" i="1"/>
  <c r="D131" i="1"/>
  <c r="E131" i="1"/>
  <c r="F131" i="1"/>
  <c r="G131" i="1"/>
  <c r="A131" i="1"/>
  <c r="B131" i="1"/>
  <c r="H131" i="1"/>
  <c r="I131" i="1"/>
  <c r="D2576" i="1"/>
  <c r="E2576" i="1"/>
  <c r="F2576" i="1"/>
  <c r="G2576" i="1"/>
  <c r="A2576" i="1"/>
  <c r="B2576" i="1"/>
  <c r="H2576" i="1"/>
  <c r="I2576" i="1"/>
  <c r="D3385" i="1"/>
  <c r="E3385" i="1"/>
  <c r="F3385" i="1"/>
  <c r="G3385" i="1"/>
  <c r="A3385" i="1"/>
  <c r="B3385" i="1"/>
  <c r="H3385" i="1"/>
  <c r="I3385" i="1"/>
  <c r="D18" i="1"/>
  <c r="E18" i="1"/>
  <c r="F18" i="1"/>
  <c r="G18" i="1"/>
  <c r="A18" i="1"/>
  <c r="B18" i="1"/>
  <c r="H18" i="1"/>
  <c r="I18" i="1"/>
  <c r="D128" i="1"/>
  <c r="E128" i="1"/>
  <c r="F128" i="1"/>
  <c r="G128" i="1"/>
  <c r="A128" i="1"/>
  <c r="B128" i="1"/>
  <c r="H128" i="1"/>
  <c r="I128" i="1"/>
  <c r="D1176" i="1"/>
  <c r="E1176" i="1"/>
  <c r="F1176" i="1"/>
  <c r="G1176" i="1"/>
  <c r="A1176" i="1"/>
  <c r="B1176" i="1"/>
  <c r="H1176" i="1"/>
  <c r="I1176" i="1"/>
  <c r="D1180" i="1"/>
  <c r="E1180" i="1"/>
  <c r="F1180" i="1"/>
  <c r="G1180" i="1"/>
  <c r="A1180" i="1"/>
  <c r="B1180" i="1"/>
  <c r="H1180" i="1"/>
  <c r="I1180" i="1"/>
  <c r="D1189" i="1"/>
  <c r="E1189" i="1"/>
  <c r="F1189" i="1"/>
  <c r="G1189" i="1"/>
  <c r="A1189" i="1"/>
  <c r="B1189" i="1"/>
  <c r="H1189" i="1"/>
  <c r="I1189" i="1"/>
  <c r="D3222" i="1"/>
  <c r="E3222" i="1"/>
  <c r="F3222" i="1"/>
  <c r="G3222" i="1"/>
  <c r="A3222" i="1"/>
  <c r="B3222" i="1"/>
  <c r="H3222" i="1"/>
  <c r="I3222" i="1"/>
  <c r="D2577" i="1"/>
  <c r="E2577" i="1"/>
  <c r="F2577" i="1"/>
  <c r="G2577" i="1"/>
  <c r="A2577" i="1"/>
  <c r="B2577" i="1"/>
  <c r="H2577" i="1"/>
  <c r="I2577" i="1"/>
  <c r="D1181" i="1"/>
  <c r="E1181" i="1"/>
  <c r="F1181" i="1"/>
  <c r="G1181" i="1"/>
  <c r="A1181" i="1"/>
  <c r="B1181" i="1"/>
  <c r="H1181" i="1"/>
  <c r="I1181" i="1"/>
  <c r="D2792" i="1"/>
  <c r="E2792" i="1"/>
  <c r="F2792" i="1"/>
  <c r="G2792" i="1"/>
  <c r="A2792" i="1"/>
  <c r="B2792" i="1"/>
  <c r="H2792" i="1"/>
  <c r="I2792" i="1"/>
  <c r="D1185" i="1"/>
  <c r="E1185" i="1"/>
  <c r="F1185" i="1"/>
  <c r="G1185" i="1"/>
  <c r="A1185" i="1"/>
  <c r="B1185" i="1"/>
  <c r="H1185" i="1"/>
  <c r="I1185" i="1"/>
  <c r="D2444" i="1"/>
  <c r="E2444" i="1"/>
  <c r="F2444" i="1"/>
  <c r="G2444" i="1"/>
  <c r="A2444" i="1"/>
  <c r="B2444" i="1"/>
  <c r="H2444" i="1"/>
  <c r="I2444" i="1"/>
  <c r="D3366" i="1"/>
  <c r="E3366" i="1"/>
  <c r="F3366" i="1"/>
  <c r="G3366" i="1"/>
  <c r="A3366" i="1"/>
  <c r="B3366" i="1"/>
  <c r="H3366" i="1"/>
  <c r="I3366" i="1"/>
  <c r="D3367" i="1"/>
  <c r="E3367" i="1"/>
  <c r="F3367" i="1"/>
  <c r="G3367" i="1"/>
  <c r="A3367" i="1"/>
  <c r="B3367" i="1"/>
  <c r="H3367" i="1"/>
  <c r="I3367" i="1"/>
  <c r="D2745" i="1"/>
  <c r="E2745" i="1"/>
  <c r="F2745" i="1"/>
  <c r="G2745" i="1"/>
  <c r="A2745" i="1"/>
  <c r="B2745" i="1"/>
  <c r="H2745" i="1"/>
  <c r="I2745" i="1"/>
  <c r="D2743" i="1"/>
  <c r="E2743" i="1"/>
  <c r="F2743" i="1"/>
  <c r="G2743" i="1"/>
  <c r="A2743" i="1"/>
  <c r="B2743" i="1"/>
  <c r="H2743" i="1"/>
  <c r="I2743" i="1"/>
  <c r="D3388" i="1"/>
  <c r="E3388" i="1"/>
  <c r="F3388" i="1"/>
  <c r="G3388" i="1"/>
  <c r="A3388" i="1"/>
  <c r="B3388" i="1"/>
  <c r="H3388" i="1"/>
  <c r="I3388" i="1"/>
  <c r="D3386" i="1"/>
  <c r="E3386" i="1"/>
  <c r="F3386" i="1"/>
  <c r="G3386" i="1"/>
  <c r="A3386" i="1"/>
  <c r="B3386" i="1"/>
  <c r="H3386" i="1"/>
  <c r="I3386" i="1"/>
  <c r="D3094" i="1"/>
  <c r="E3094" i="1"/>
  <c r="F3094" i="1"/>
  <c r="G3094" i="1"/>
  <c r="A3094" i="1"/>
  <c r="B3094" i="1"/>
  <c r="H3094" i="1"/>
  <c r="I3094" i="1"/>
  <c r="D607" i="1"/>
  <c r="E607" i="1"/>
  <c r="F607" i="1"/>
  <c r="G607" i="1"/>
  <c r="A607" i="1"/>
  <c r="B607" i="1"/>
  <c r="H607" i="1"/>
  <c r="I607" i="1"/>
  <c r="D3286" i="1"/>
  <c r="E3286" i="1"/>
  <c r="F3286" i="1"/>
  <c r="G3286" i="1"/>
  <c r="A3286" i="1"/>
  <c r="B3286" i="1"/>
  <c r="H3286" i="1"/>
  <c r="I3286" i="1"/>
  <c r="D604" i="1"/>
  <c r="E604" i="1"/>
  <c r="F604" i="1"/>
  <c r="G604" i="1"/>
  <c r="A604" i="1"/>
  <c r="B604" i="1"/>
  <c r="H604" i="1"/>
  <c r="I604" i="1"/>
  <c r="D2597" i="1"/>
  <c r="E2597" i="1"/>
  <c r="F2597" i="1"/>
  <c r="G2597" i="1"/>
  <c r="A2597" i="1"/>
  <c r="B2597" i="1"/>
  <c r="H2597" i="1"/>
  <c r="I2597" i="1"/>
  <c r="D2963" i="1"/>
  <c r="E2963" i="1"/>
  <c r="F2963" i="1"/>
  <c r="G2963" i="1"/>
  <c r="A2963" i="1"/>
  <c r="B2963" i="1"/>
  <c r="H2963" i="1"/>
  <c r="I2963" i="1"/>
  <c r="D352" i="1"/>
  <c r="E352" i="1"/>
  <c r="F352" i="1"/>
  <c r="G352" i="1"/>
  <c r="A352" i="1"/>
  <c r="B352" i="1"/>
  <c r="H352" i="1"/>
  <c r="I352" i="1"/>
  <c r="D608" i="1"/>
  <c r="E608" i="1"/>
  <c r="F608" i="1"/>
  <c r="G608" i="1"/>
  <c r="A608" i="1"/>
  <c r="B608" i="1"/>
  <c r="H608" i="1"/>
  <c r="I608" i="1"/>
  <c r="D2748" i="1"/>
  <c r="E2748" i="1"/>
  <c r="F2748" i="1"/>
  <c r="G2748" i="1"/>
  <c r="A2748" i="1"/>
  <c r="B2748" i="1"/>
  <c r="H2748" i="1"/>
  <c r="I2748" i="1"/>
  <c r="D2749" i="1"/>
  <c r="E2749" i="1"/>
  <c r="F2749" i="1"/>
  <c r="G2749" i="1"/>
  <c r="A2749" i="1"/>
  <c r="B2749" i="1"/>
  <c r="H2749" i="1"/>
  <c r="I2749" i="1"/>
  <c r="D1979" i="1"/>
  <c r="E1979" i="1"/>
  <c r="F1979" i="1"/>
  <c r="G1979" i="1"/>
  <c r="A1979" i="1"/>
  <c r="B1979" i="1"/>
  <c r="H1979" i="1"/>
  <c r="I1979" i="1"/>
  <c r="D327" i="1"/>
  <c r="E327" i="1"/>
  <c r="F327" i="1"/>
  <c r="G327" i="1"/>
  <c r="A327" i="1"/>
  <c r="B327" i="1"/>
  <c r="H327" i="1"/>
  <c r="I327" i="1"/>
  <c r="D3507" i="1"/>
  <c r="E3507" i="1"/>
  <c r="F3507" i="1"/>
  <c r="G3507" i="1"/>
  <c r="A3507" i="1"/>
  <c r="B3507" i="1"/>
  <c r="H3507" i="1"/>
  <c r="I3507" i="1"/>
  <c r="D325" i="1"/>
  <c r="E325" i="1"/>
  <c r="F325" i="1"/>
  <c r="G325" i="1"/>
  <c r="A325" i="1"/>
  <c r="B325" i="1"/>
  <c r="H325" i="1"/>
  <c r="I325" i="1"/>
  <c r="D2846" i="1"/>
  <c r="E2846" i="1"/>
  <c r="F2846" i="1"/>
  <c r="G2846" i="1"/>
  <c r="A2846" i="1"/>
  <c r="B2846" i="1"/>
  <c r="H2846" i="1"/>
  <c r="I2846" i="1"/>
  <c r="D351" i="1"/>
  <c r="E351" i="1"/>
  <c r="F351" i="1"/>
  <c r="G351" i="1"/>
  <c r="A351" i="1"/>
  <c r="B351" i="1"/>
  <c r="H351" i="1"/>
  <c r="I351" i="1"/>
  <c r="D1490" i="1"/>
  <c r="E1490" i="1"/>
  <c r="F1490" i="1"/>
  <c r="G1490" i="1"/>
  <c r="A1490" i="1"/>
  <c r="B1490" i="1"/>
  <c r="H1490" i="1"/>
  <c r="I1490" i="1"/>
  <c r="D3387" i="1"/>
  <c r="E3387" i="1"/>
  <c r="F3387" i="1"/>
  <c r="G3387" i="1"/>
  <c r="A3387" i="1"/>
  <c r="B3387" i="1"/>
  <c r="H3387" i="1"/>
  <c r="I3387" i="1"/>
  <c r="D1491" i="1"/>
  <c r="E1491" i="1"/>
  <c r="F1491" i="1"/>
  <c r="G1491" i="1"/>
  <c r="A1491" i="1"/>
  <c r="B1491" i="1"/>
  <c r="H1491" i="1"/>
  <c r="I1491" i="1"/>
  <c r="D2744" i="1"/>
  <c r="E2744" i="1"/>
  <c r="F2744" i="1"/>
  <c r="G2744" i="1"/>
  <c r="A2744" i="1"/>
  <c r="B2744" i="1"/>
  <c r="H2744" i="1"/>
  <c r="I2744" i="1"/>
  <c r="D2722" i="1"/>
  <c r="E2722" i="1"/>
  <c r="F2722" i="1"/>
  <c r="G2722" i="1"/>
  <c r="A2722" i="1"/>
  <c r="B2722" i="1"/>
  <c r="H2722" i="1"/>
  <c r="I2722" i="1"/>
  <c r="D353" i="1"/>
  <c r="E353" i="1"/>
  <c r="F353" i="1"/>
  <c r="G353" i="1"/>
  <c r="A353" i="1"/>
  <c r="B353" i="1"/>
  <c r="H353" i="1"/>
  <c r="I353" i="1"/>
  <c r="D3096" i="1"/>
  <c r="E3096" i="1"/>
  <c r="F3096" i="1"/>
  <c r="G3096" i="1"/>
  <c r="A3096" i="1"/>
  <c r="B3096" i="1"/>
  <c r="H3096" i="1"/>
  <c r="I3096" i="1"/>
  <c r="D3228" i="1"/>
  <c r="E3228" i="1"/>
  <c r="F3228" i="1"/>
  <c r="G3228" i="1"/>
  <c r="A3228" i="1"/>
  <c r="B3228" i="1"/>
  <c r="H3228" i="1"/>
  <c r="I3228" i="1"/>
  <c r="D354" i="1"/>
  <c r="E354" i="1"/>
  <c r="F354" i="1"/>
  <c r="G354" i="1"/>
  <c r="A354" i="1"/>
  <c r="B354" i="1"/>
  <c r="H354" i="1"/>
  <c r="I354" i="1"/>
  <c r="D1969" i="1"/>
  <c r="E1969" i="1"/>
  <c r="F1969" i="1"/>
  <c r="G1969" i="1"/>
  <c r="A1969" i="1"/>
  <c r="B1969" i="1"/>
  <c r="H1969" i="1"/>
  <c r="I1969" i="1"/>
  <c r="D356" i="1"/>
  <c r="E356" i="1"/>
  <c r="F356" i="1"/>
  <c r="G356" i="1"/>
  <c r="A356" i="1"/>
  <c r="B356" i="1"/>
  <c r="H356" i="1"/>
  <c r="I356" i="1"/>
  <c r="D350" i="1"/>
  <c r="E350" i="1"/>
  <c r="F350" i="1"/>
  <c r="G350" i="1"/>
  <c r="A350" i="1"/>
  <c r="B350" i="1"/>
  <c r="H350" i="1"/>
  <c r="I350" i="1"/>
  <c r="D1706" i="1"/>
  <c r="E1706" i="1"/>
  <c r="F1706" i="1"/>
  <c r="G1706" i="1"/>
  <c r="A1706" i="1"/>
  <c r="B1706" i="1"/>
  <c r="H1706" i="1"/>
  <c r="I1706" i="1"/>
  <c r="D3338" i="1"/>
  <c r="E3338" i="1"/>
  <c r="F3338" i="1"/>
  <c r="G3338" i="1"/>
  <c r="A3338" i="1"/>
  <c r="B3338" i="1"/>
  <c r="H3338" i="1"/>
  <c r="I3338" i="1"/>
  <c r="D355" i="1"/>
  <c r="E355" i="1"/>
  <c r="F355" i="1"/>
  <c r="G355" i="1"/>
  <c r="A355" i="1"/>
  <c r="B355" i="1"/>
  <c r="H355" i="1"/>
  <c r="I355" i="1"/>
  <c r="D606" i="1"/>
  <c r="E606" i="1"/>
  <c r="F606" i="1"/>
  <c r="G606" i="1"/>
  <c r="A606" i="1"/>
  <c r="B606" i="1"/>
  <c r="H606" i="1"/>
  <c r="I606" i="1"/>
  <c r="D3095" i="1"/>
  <c r="E3095" i="1"/>
  <c r="F3095" i="1"/>
  <c r="G3095" i="1"/>
  <c r="A3095" i="1"/>
  <c r="B3095" i="1"/>
  <c r="H3095" i="1"/>
  <c r="I3095" i="1"/>
  <c r="D2723" i="1"/>
  <c r="E2723" i="1"/>
  <c r="F2723" i="1"/>
  <c r="G2723" i="1"/>
  <c r="A2723" i="1"/>
  <c r="B2723" i="1"/>
  <c r="H2723" i="1"/>
  <c r="I2723" i="1"/>
  <c r="D3339" i="1"/>
  <c r="E3339" i="1"/>
  <c r="F3339" i="1"/>
  <c r="G3339" i="1"/>
  <c r="A3339" i="1"/>
  <c r="B3339" i="1"/>
  <c r="H3339" i="1"/>
  <c r="I3339" i="1"/>
  <c r="D2598" i="1"/>
  <c r="E2598" i="1"/>
  <c r="F2598" i="1"/>
  <c r="G2598" i="1"/>
  <c r="A2598" i="1"/>
  <c r="B2598" i="1"/>
  <c r="H2598" i="1"/>
  <c r="I2598" i="1"/>
  <c r="D3389" i="1"/>
  <c r="E3389" i="1"/>
  <c r="F3389" i="1"/>
  <c r="G3389" i="1"/>
  <c r="A3389" i="1"/>
  <c r="B3389" i="1"/>
  <c r="H3389" i="1"/>
  <c r="I3389" i="1"/>
  <c r="D2830" i="1"/>
  <c r="E2830" i="1"/>
  <c r="F2830" i="1"/>
  <c r="G2830" i="1"/>
  <c r="A2830" i="1"/>
  <c r="B2830" i="1"/>
  <c r="H2830" i="1"/>
  <c r="I2830" i="1"/>
  <c r="D2891" i="1"/>
  <c r="E2891" i="1"/>
  <c r="F2891" i="1"/>
  <c r="G2891" i="1"/>
  <c r="A2891" i="1"/>
  <c r="B2891" i="1"/>
  <c r="H2891" i="1"/>
  <c r="I2891" i="1"/>
  <c r="D2742" i="1"/>
  <c r="E2742" i="1"/>
  <c r="F2742" i="1"/>
  <c r="G2742" i="1"/>
  <c r="A2742" i="1"/>
  <c r="B2742" i="1"/>
  <c r="H2742" i="1"/>
  <c r="I2742" i="1"/>
  <c r="D2831" i="1"/>
  <c r="E2831" i="1"/>
  <c r="F2831" i="1"/>
  <c r="G2831" i="1"/>
  <c r="A2831" i="1"/>
  <c r="B2831" i="1"/>
  <c r="H2831" i="1"/>
  <c r="I2831" i="1"/>
  <c r="D2607" i="1"/>
  <c r="E2607" i="1"/>
  <c r="F2607" i="1"/>
  <c r="G2607" i="1"/>
  <c r="A2607" i="1"/>
  <c r="B2607" i="1"/>
  <c r="H2607" i="1"/>
  <c r="I2607" i="1"/>
  <c r="D3093" i="1"/>
  <c r="E3093" i="1"/>
  <c r="F3093" i="1"/>
  <c r="G3093" i="1"/>
  <c r="A3093" i="1"/>
  <c r="B3093" i="1"/>
  <c r="H3093" i="1"/>
  <c r="I3093" i="1"/>
  <c r="D609" i="1"/>
  <c r="E609" i="1"/>
  <c r="F609" i="1"/>
  <c r="G609" i="1"/>
  <c r="A609" i="1"/>
  <c r="B609" i="1"/>
  <c r="H609" i="1"/>
  <c r="I609" i="1"/>
  <c r="D326" i="1"/>
  <c r="E326" i="1"/>
  <c r="F326" i="1"/>
  <c r="G326" i="1"/>
  <c r="A326" i="1"/>
  <c r="B326" i="1"/>
  <c r="H326" i="1"/>
  <c r="I326" i="1"/>
  <c r="D328" i="1"/>
  <c r="E328" i="1"/>
  <c r="F328" i="1"/>
  <c r="G328" i="1"/>
  <c r="A328" i="1"/>
  <c r="B328" i="1"/>
  <c r="H328" i="1"/>
  <c r="I328" i="1"/>
  <c r="D605" i="1"/>
  <c r="E605" i="1"/>
  <c r="F605" i="1"/>
  <c r="G605" i="1"/>
  <c r="A605" i="1"/>
  <c r="B605" i="1"/>
  <c r="H605" i="1"/>
  <c r="I605" i="1"/>
  <c r="D3092" i="1"/>
  <c r="E3092" i="1"/>
  <c r="F3092" i="1"/>
  <c r="G3092" i="1"/>
  <c r="A3092" i="1"/>
  <c r="B3092" i="1"/>
  <c r="H3092" i="1"/>
  <c r="I3092" i="1"/>
  <c r="D2747" i="1"/>
  <c r="E2747" i="1"/>
  <c r="F2747" i="1"/>
  <c r="G2747" i="1"/>
  <c r="A2747" i="1"/>
  <c r="B2747" i="1"/>
  <c r="H2747" i="1"/>
  <c r="I2747" i="1"/>
  <c r="D2746" i="1"/>
  <c r="E2746" i="1"/>
  <c r="F2746" i="1"/>
  <c r="G2746" i="1"/>
  <c r="A2746" i="1"/>
  <c r="B2746" i="1"/>
  <c r="H2746" i="1"/>
  <c r="I2746" i="1"/>
  <c r="D1492" i="1"/>
  <c r="E1492" i="1"/>
  <c r="F1492" i="1"/>
  <c r="G1492" i="1"/>
  <c r="A1492" i="1"/>
  <c r="B1492" i="1"/>
  <c r="H1492" i="1"/>
  <c r="I1492" i="1"/>
  <c r="D467" i="1"/>
  <c r="E467" i="1"/>
  <c r="F467" i="1"/>
  <c r="G467" i="1"/>
  <c r="A467" i="1"/>
  <c r="B467" i="1"/>
  <c r="H467" i="1"/>
  <c r="I467" i="1"/>
  <c r="D2717" i="1"/>
  <c r="E2717" i="1"/>
  <c r="F2717" i="1"/>
  <c r="G2717" i="1"/>
  <c r="A2717" i="1"/>
  <c r="B2717" i="1"/>
  <c r="H2717" i="1"/>
  <c r="I2717" i="1"/>
  <c r="D3397" i="1"/>
  <c r="E3397" i="1"/>
  <c r="F3397" i="1"/>
  <c r="G3397" i="1"/>
  <c r="A3397" i="1"/>
  <c r="B3397" i="1"/>
  <c r="H3397" i="1"/>
  <c r="I3397" i="1"/>
  <c r="D2718" i="1"/>
  <c r="E2718" i="1"/>
  <c r="F2718" i="1"/>
  <c r="G2718" i="1"/>
  <c r="A2718" i="1"/>
  <c r="B2718" i="1"/>
  <c r="H2718" i="1"/>
  <c r="I2718" i="1"/>
  <c r="D3298" i="1"/>
  <c r="E3298" i="1"/>
  <c r="F3298" i="1"/>
  <c r="G3298" i="1"/>
  <c r="A3298" i="1"/>
  <c r="B3298" i="1"/>
  <c r="H3298" i="1"/>
  <c r="I3298" i="1"/>
  <c r="D3117" i="1"/>
  <c r="E3117" i="1"/>
  <c r="F3117" i="1"/>
  <c r="G3117" i="1"/>
  <c r="A3117" i="1"/>
  <c r="B3117" i="1"/>
  <c r="H3117" i="1"/>
  <c r="I3117" i="1"/>
  <c r="D2701" i="1"/>
  <c r="E2701" i="1"/>
  <c r="F2701" i="1"/>
  <c r="G2701" i="1"/>
  <c r="A2701" i="1"/>
  <c r="B2701" i="1"/>
  <c r="H2701" i="1"/>
  <c r="I2701" i="1"/>
  <c r="D1479" i="1"/>
  <c r="E1479" i="1"/>
  <c r="F1479" i="1"/>
  <c r="G1479" i="1"/>
  <c r="A1479" i="1"/>
  <c r="B1479" i="1"/>
  <c r="H1479" i="1"/>
  <c r="I1479" i="1"/>
  <c r="D1480" i="1"/>
  <c r="E1480" i="1"/>
  <c r="F1480" i="1"/>
  <c r="G1480" i="1"/>
  <c r="A1480" i="1"/>
  <c r="B1480" i="1"/>
  <c r="H1480" i="1"/>
  <c r="I1480" i="1"/>
  <c r="D1481" i="1"/>
  <c r="E1481" i="1"/>
  <c r="F1481" i="1"/>
  <c r="G1481" i="1"/>
  <c r="A1481" i="1"/>
  <c r="B1481" i="1"/>
  <c r="H1481" i="1"/>
  <c r="I1481" i="1"/>
  <c r="D3294" i="1"/>
  <c r="E3294" i="1"/>
  <c r="F3294" i="1"/>
  <c r="G3294" i="1"/>
  <c r="A3294" i="1"/>
  <c r="B3294" i="1"/>
  <c r="H3294" i="1"/>
  <c r="I3294" i="1"/>
  <c r="D2623" i="1"/>
  <c r="E2623" i="1"/>
  <c r="F2623" i="1"/>
  <c r="G2623" i="1"/>
  <c r="A2623" i="1"/>
  <c r="B2623" i="1"/>
  <c r="H2623" i="1"/>
  <c r="I2623" i="1"/>
  <c r="D2626" i="1"/>
  <c r="E2626" i="1"/>
  <c r="F2626" i="1"/>
  <c r="G2626" i="1"/>
  <c r="A2626" i="1"/>
  <c r="B2626" i="1"/>
  <c r="H2626" i="1"/>
  <c r="I2626" i="1"/>
  <c r="D2886" i="1"/>
  <c r="E2886" i="1"/>
  <c r="F2886" i="1"/>
  <c r="G2886" i="1"/>
  <c r="A2886" i="1"/>
  <c r="B2886" i="1"/>
  <c r="H2886" i="1"/>
  <c r="I2886" i="1"/>
  <c r="D2543" i="1"/>
  <c r="E2543" i="1"/>
  <c r="F2543" i="1"/>
  <c r="G2543" i="1"/>
  <c r="A2543" i="1"/>
  <c r="B2543" i="1"/>
  <c r="H2543" i="1"/>
  <c r="I2543" i="1"/>
  <c r="D3164" i="1"/>
  <c r="E3164" i="1"/>
  <c r="F3164" i="1"/>
  <c r="G3164" i="1"/>
  <c r="A3164" i="1"/>
  <c r="B3164" i="1"/>
  <c r="H3164" i="1"/>
  <c r="I3164" i="1"/>
  <c r="D3503" i="1"/>
  <c r="E3503" i="1"/>
  <c r="F3503" i="1"/>
  <c r="G3503" i="1"/>
  <c r="A3503" i="1"/>
  <c r="B3503" i="1"/>
  <c r="H3503" i="1"/>
  <c r="I3503" i="1"/>
  <c r="D3160" i="1"/>
  <c r="E3160" i="1"/>
  <c r="F3160" i="1"/>
  <c r="G3160" i="1"/>
  <c r="A3160" i="1"/>
  <c r="B3160" i="1"/>
  <c r="H3160" i="1"/>
  <c r="I3160" i="1"/>
  <c r="D3399" i="1"/>
  <c r="E3399" i="1"/>
  <c r="F3399" i="1"/>
  <c r="G3399" i="1"/>
  <c r="A3399" i="1"/>
  <c r="B3399" i="1"/>
  <c r="H3399" i="1"/>
  <c r="I3399" i="1"/>
  <c r="D1475" i="1"/>
  <c r="E1475" i="1"/>
  <c r="F1475" i="1"/>
  <c r="G1475" i="1"/>
  <c r="A1475" i="1"/>
  <c r="B1475" i="1"/>
  <c r="H1475" i="1"/>
  <c r="I1475" i="1"/>
  <c r="D3163" i="1"/>
  <c r="E3163" i="1"/>
  <c r="F3163" i="1"/>
  <c r="G3163" i="1"/>
  <c r="A3163" i="1"/>
  <c r="B3163" i="1"/>
  <c r="H3163" i="1"/>
  <c r="I3163" i="1"/>
  <c r="D3165" i="1"/>
  <c r="E3165" i="1"/>
  <c r="F3165" i="1"/>
  <c r="G3165" i="1"/>
  <c r="A3165" i="1"/>
  <c r="B3165" i="1"/>
  <c r="H3165" i="1"/>
  <c r="I3165" i="1"/>
  <c r="D1472" i="1"/>
  <c r="E1472" i="1"/>
  <c r="F1472" i="1"/>
  <c r="G1472" i="1"/>
  <c r="A1472" i="1"/>
  <c r="B1472" i="1"/>
  <c r="H1472" i="1"/>
  <c r="I1472" i="1"/>
  <c r="D1486" i="1"/>
  <c r="E1486" i="1"/>
  <c r="F1486" i="1"/>
  <c r="G1486" i="1"/>
  <c r="A1486" i="1"/>
  <c r="B1486" i="1"/>
  <c r="H1486" i="1"/>
  <c r="I1486" i="1"/>
  <c r="D2625" i="1"/>
  <c r="E2625" i="1"/>
  <c r="F2625" i="1"/>
  <c r="G2625" i="1"/>
  <c r="A2625" i="1"/>
  <c r="B2625" i="1"/>
  <c r="H2625" i="1"/>
  <c r="I2625" i="1"/>
  <c r="D1484" i="1"/>
  <c r="E1484" i="1"/>
  <c r="F1484" i="1"/>
  <c r="G1484" i="1"/>
  <c r="A1484" i="1"/>
  <c r="B1484" i="1"/>
  <c r="H1484" i="1"/>
  <c r="I1484" i="1"/>
  <c r="D3402" i="1"/>
  <c r="E3402" i="1"/>
  <c r="F3402" i="1"/>
  <c r="G3402" i="1"/>
  <c r="A3402" i="1"/>
  <c r="B3402" i="1"/>
  <c r="H3402" i="1"/>
  <c r="I3402" i="1"/>
  <c r="D1470" i="1"/>
  <c r="E1470" i="1"/>
  <c r="F1470" i="1"/>
  <c r="G1470" i="1"/>
  <c r="A1470" i="1"/>
  <c r="B1470" i="1"/>
  <c r="H1470" i="1"/>
  <c r="I1470" i="1"/>
  <c r="D1483" i="1"/>
  <c r="E1483" i="1"/>
  <c r="F1483" i="1"/>
  <c r="G1483" i="1"/>
  <c r="A1483" i="1"/>
  <c r="B1483" i="1"/>
  <c r="H1483" i="1"/>
  <c r="I1483" i="1"/>
  <c r="D2624" i="1"/>
  <c r="E2624" i="1"/>
  <c r="F2624" i="1"/>
  <c r="G2624" i="1"/>
  <c r="A2624" i="1"/>
  <c r="B2624" i="1"/>
  <c r="H2624" i="1"/>
  <c r="I2624" i="1"/>
  <c r="D1473" i="1"/>
  <c r="E1473" i="1"/>
  <c r="F1473" i="1"/>
  <c r="G1473" i="1"/>
  <c r="A1473" i="1"/>
  <c r="B1473" i="1"/>
  <c r="H1473" i="1"/>
  <c r="I1473" i="1"/>
  <c r="D3295" i="1"/>
  <c r="E3295" i="1"/>
  <c r="F3295" i="1"/>
  <c r="G3295" i="1"/>
  <c r="A3295" i="1"/>
  <c r="B3295" i="1"/>
  <c r="H3295" i="1"/>
  <c r="I3295" i="1"/>
  <c r="D469" i="1"/>
  <c r="E469" i="1"/>
  <c r="F469" i="1"/>
  <c r="G469" i="1"/>
  <c r="A469" i="1"/>
  <c r="B469" i="1"/>
  <c r="H469" i="1"/>
  <c r="I469" i="1"/>
  <c r="D2702" i="1"/>
  <c r="E2702" i="1"/>
  <c r="F2702" i="1"/>
  <c r="G2702" i="1"/>
  <c r="A2702" i="1"/>
  <c r="B2702" i="1"/>
  <c r="H2702" i="1"/>
  <c r="I2702" i="1"/>
  <c r="D1476" i="1"/>
  <c r="E1476" i="1"/>
  <c r="F1476" i="1"/>
  <c r="G1476" i="1"/>
  <c r="A1476" i="1"/>
  <c r="B1476" i="1"/>
  <c r="H1476" i="1"/>
  <c r="I1476" i="1"/>
  <c r="D2887" i="1"/>
  <c r="E2887" i="1"/>
  <c r="F2887" i="1"/>
  <c r="G2887" i="1"/>
  <c r="A2887" i="1"/>
  <c r="B2887" i="1"/>
  <c r="H2887" i="1"/>
  <c r="I2887" i="1"/>
  <c r="D2545" i="1"/>
  <c r="E2545" i="1"/>
  <c r="F2545" i="1"/>
  <c r="G2545" i="1"/>
  <c r="A2545" i="1"/>
  <c r="B2545" i="1"/>
  <c r="H2545" i="1"/>
  <c r="I2545" i="1"/>
  <c r="D1474" i="1"/>
  <c r="E1474" i="1"/>
  <c r="F1474" i="1"/>
  <c r="G1474" i="1"/>
  <c r="A1474" i="1"/>
  <c r="B1474" i="1"/>
  <c r="H1474" i="1"/>
  <c r="I1474" i="1"/>
  <c r="D1488" i="1"/>
  <c r="E1488" i="1"/>
  <c r="F1488" i="1"/>
  <c r="G1488" i="1"/>
  <c r="A1488" i="1"/>
  <c r="B1488" i="1"/>
  <c r="H1488" i="1"/>
  <c r="I1488" i="1"/>
  <c r="D1471" i="1"/>
  <c r="E1471" i="1"/>
  <c r="F1471" i="1"/>
  <c r="G1471" i="1"/>
  <c r="A1471" i="1"/>
  <c r="B1471" i="1"/>
  <c r="H1471" i="1"/>
  <c r="I1471" i="1"/>
  <c r="D3396" i="1"/>
  <c r="E3396" i="1"/>
  <c r="F3396" i="1"/>
  <c r="G3396" i="1"/>
  <c r="A3396" i="1"/>
  <c r="B3396" i="1"/>
  <c r="H3396" i="1"/>
  <c r="I3396" i="1"/>
  <c r="D3296" i="1"/>
  <c r="E3296" i="1"/>
  <c r="F3296" i="1"/>
  <c r="G3296" i="1"/>
  <c r="A3296" i="1"/>
  <c r="B3296" i="1"/>
  <c r="H3296" i="1"/>
  <c r="I3296" i="1"/>
  <c r="D2888" i="1"/>
  <c r="E2888" i="1"/>
  <c r="F2888" i="1"/>
  <c r="G2888" i="1"/>
  <c r="A2888" i="1"/>
  <c r="B2888" i="1"/>
  <c r="H2888" i="1"/>
  <c r="I2888" i="1"/>
  <c r="D2885" i="1"/>
  <c r="E2885" i="1"/>
  <c r="F2885" i="1"/>
  <c r="G2885" i="1"/>
  <c r="A2885" i="1"/>
  <c r="B2885" i="1"/>
  <c r="H2885" i="1"/>
  <c r="I2885" i="1"/>
  <c r="D1485" i="1"/>
  <c r="E1485" i="1"/>
  <c r="F1485" i="1"/>
  <c r="G1485" i="1"/>
  <c r="A1485" i="1"/>
  <c r="B1485" i="1"/>
  <c r="H1485" i="1"/>
  <c r="I1485" i="1"/>
  <c r="D1482" i="1"/>
  <c r="E1482" i="1"/>
  <c r="F1482" i="1"/>
  <c r="G1482" i="1"/>
  <c r="A1482" i="1"/>
  <c r="B1482" i="1"/>
  <c r="H1482" i="1"/>
  <c r="I1482" i="1"/>
  <c r="D3401" i="1"/>
  <c r="E3401" i="1"/>
  <c r="F3401" i="1"/>
  <c r="G3401" i="1"/>
  <c r="A3401" i="1"/>
  <c r="B3401" i="1"/>
  <c r="H3401" i="1"/>
  <c r="I3401" i="1"/>
  <c r="D3400" i="1"/>
  <c r="E3400" i="1"/>
  <c r="F3400" i="1"/>
  <c r="G3400" i="1"/>
  <c r="A3400" i="1"/>
  <c r="B3400" i="1"/>
  <c r="H3400" i="1"/>
  <c r="I3400" i="1"/>
  <c r="D468" i="1"/>
  <c r="E468" i="1"/>
  <c r="F468" i="1"/>
  <c r="G468" i="1"/>
  <c r="A468" i="1"/>
  <c r="B468" i="1"/>
  <c r="H468" i="1"/>
  <c r="I468" i="1"/>
  <c r="D3398" i="1"/>
  <c r="E3398" i="1"/>
  <c r="F3398" i="1"/>
  <c r="G3398" i="1"/>
  <c r="A3398" i="1"/>
  <c r="B3398" i="1"/>
  <c r="H3398" i="1"/>
  <c r="I3398" i="1"/>
  <c r="D3115" i="1"/>
  <c r="E3115" i="1"/>
  <c r="F3115" i="1"/>
  <c r="G3115" i="1"/>
  <c r="A3115" i="1"/>
  <c r="B3115" i="1"/>
  <c r="H3115" i="1"/>
  <c r="I3115" i="1"/>
  <c r="D3297" i="1"/>
  <c r="E3297" i="1"/>
  <c r="F3297" i="1"/>
  <c r="G3297" i="1"/>
  <c r="A3297" i="1"/>
  <c r="B3297" i="1"/>
  <c r="H3297" i="1"/>
  <c r="I3297" i="1"/>
  <c r="D3116" i="1"/>
  <c r="E3116" i="1"/>
  <c r="F3116" i="1"/>
  <c r="G3116" i="1"/>
  <c r="A3116" i="1"/>
  <c r="B3116" i="1"/>
  <c r="H3116" i="1"/>
  <c r="I3116" i="1"/>
  <c r="D2620" i="1"/>
  <c r="E2620" i="1"/>
  <c r="F2620" i="1"/>
  <c r="G2620" i="1"/>
  <c r="A2620" i="1"/>
  <c r="B2620" i="1"/>
  <c r="H2620" i="1"/>
  <c r="I2620" i="1"/>
  <c r="D2544" i="1"/>
  <c r="E2544" i="1"/>
  <c r="F2544" i="1"/>
  <c r="G2544" i="1"/>
  <c r="A2544" i="1"/>
  <c r="B2544" i="1"/>
  <c r="H2544" i="1"/>
  <c r="I2544" i="1"/>
  <c r="D3161" i="1"/>
  <c r="E3161" i="1"/>
  <c r="F3161" i="1"/>
  <c r="G3161" i="1"/>
  <c r="A3161" i="1"/>
  <c r="B3161" i="1"/>
  <c r="H3161" i="1"/>
  <c r="I3161" i="1"/>
  <c r="D2622" i="1"/>
  <c r="E2622" i="1"/>
  <c r="F2622" i="1"/>
  <c r="G2622" i="1"/>
  <c r="A2622" i="1"/>
  <c r="B2622" i="1"/>
  <c r="H2622" i="1"/>
  <c r="I2622" i="1"/>
  <c r="D1477" i="1"/>
  <c r="E1477" i="1"/>
  <c r="F1477" i="1"/>
  <c r="G1477" i="1"/>
  <c r="A1477" i="1"/>
  <c r="B1477" i="1"/>
  <c r="H1477" i="1"/>
  <c r="I1477" i="1"/>
  <c r="D1478" i="1"/>
  <c r="E1478" i="1"/>
  <c r="F1478" i="1"/>
  <c r="G1478" i="1"/>
  <c r="A1478" i="1"/>
  <c r="B1478" i="1"/>
  <c r="H1478" i="1"/>
  <c r="I1478" i="1"/>
  <c r="D3395" i="1"/>
  <c r="E3395" i="1"/>
  <c r="F3395" i="1"/>
  <c r="G3395" i="1"/>
  <c r="A3395" i="1"/>
  <c r="B3395" i="1"/>
  <c r="H3395" i="1"/>
  <c r="I3395" i="1"/>
  <c r="D2716" i="1"/>
  <c r="E2716" i="1"/>
  <c r="F2716" i="1"/>
  <c r="G2716" i="1"/>
  <c r="A2716" i="1"/>
  <c r="B2716" i="1"/>
  <c r="H2716" i="1"/>
  <c r="I2716" i="1"/>
  <c r="D3162" i="1"/>
  <c r="E3162" i="1"/>
  <c r="F3162" i="1"/>
  <c r="G3162" i="1"/>
  <c r="A3162" i="1"/>
  <c r="B3162" i="1"/>
  <c r="H3162" i="1"/>
  <c r="I3162" i="1"/>
  <c r="D3158" i="1"/>
  <c r="E3158" i="1"/>
  <c r="F3158" i="1"/>
  <c r="G3158" i="1"/>
  <c r="A3158" i="1"/>
  <c r="B3158" i="1"/>
  <c r="H3158" i="1"/>
  <c r="I3158" i="1"/>
  <c r="D3235" i="1"/>
  <c r="E3235" i="1"/>
  <c r="F3235" i="1"/>
  <c r="G3235" i="1"/>
  <c r="A3235" i="1"/>
  <c r="B3235" i="1"/>
  <c r="H3235" i="1"/>
  <c r="I3235" i="1"/>
  <c r="D3114" i="1"/>
  <c r="E3114" i="1"/>
  <c r="F3114" i="1"/>
  <c r="G3114" i="1"/>
  <c r="A3114" i="1"/>
  <c r="B3114" i="1"/>
  <c r="H3114" i="1"/>
  <c r="I3114" i="1"/>
  <c r="D2889" i="1"/>
  <c r="E2889" i="1"/>
  <c r="F2889" i="1"/>
  <c r="G2889" i="1"/>
  <c r="A2889" i="1"/>
  <c r="B2889" i="1"/>
  <c r="H2889" i="1"/>
  <c r="I2889" i="1"/>
  <c r="D2890" i="1"/>
  <c r="E2890" i="1"/>
  <c r="F2890" i="1"/>
  <c r="G2890" i="1"/>
  <c r="A2890" i="1"/>
  <c r="B2890" i="1"/>
  <c r="H2890" i="1"/>
  <c r="I2890" i="1"/>
  <c r="D3403" i="1"/>
  <c r="E3403" i="1"/>
  <c r="F3403" i="1"/>
  <c r="G3403" i="1"/>
  <c r="A3403" i="1"/>
  <c r="B3403" i="1"/>
  <c r="H3403" i="1"/>
  <c r="I3403" i="1"/>
  <c r="D3434" i="1"/>
  <c r="E3434" i="1"/>
  <c r="F3434" i="1"/>
  <c r="G3434" i="1"/>
  <c r="A3434" i="1"/>
  <c r="B3434" i="1"/>
  <c r="H3434" i="1"/>
  <c r="I3434" i="1"/>
  <c r="D1129" i="1"/>
  <c r="E1129" i="1"/>
  <c r="F1129" i="1"/>
  <c r="G1129" i="1"/>
  <c r="A1129" i="1"/>
  <c r="B1129" i="1"/>
  <c r="H1129" i="1"/>
  <c r="I1129" i="1"/>
  <c r="D3446" i="1"/>
  <c r="E3446" i="1"/>
  <c r="F3446" i="1"/>
  <c r="G3446" i="1"/>
  <c r="A3446" i="1"/>
  <c r="B3446" i="1"/>
  <c r="H3446" i="1"/>
  <c r="I3446" i="1"/>
  <c r="D288" i="1"/>
  <c r="E288" i="1"/>
  <c r="F288" i="1"/>
  <c r="G288" i="1"/>
  <c r="A288" i="1"/>
  <c r="B288" i="1"/>
  <c r="H288" i="1"/>
  <c r="I288" i="1"/>
  <c r="D1077" i="1"/>
  <c r="E1077" i="1"/>
  <c r="F1077" i="1"/>
  <c r="G1077" i="1"/>
  <c r="A1077" i="1"/>
  <c r="B1077" i="1"/>
  <c r="H1077" i="1"/>
  <c r="I1077" i="1"/>
  <c r="D290" i="1"/>
  <c r="E290" i="1"/>
  <c r="F290" i="1"/>
  <c r="G290" i="1"/>
  <c r="A290" i="1"/>
  <c r="B290" i="1"/>
  <c r="H290" i="1"/>
  <c r="I290" i="1"/>
  <c r="D3411" i="1"/>
  <c r="E3411" i="1"/>
  <c r="F3411" i="1"/>
  <c r="G3411" i="1"/>
  <c r="A3411" i="1"/>
  <c r="B3411" i="1"/>
  <c r="H3411" i="1"/>
  <c r="I3411" i="1"/>
  <c r="D1388" i="1"/>
  <c r="E1388" i="1"/>
  <c r="F1388" i="1"/>
  <c r="G1388" i="1"/>
  <c r="A1388" i="1"/>
  <c r="B1388" i="1"/>
  <c r="H1388" i="1"/>
  <c r="I1388" i="1"/>
  <c r="D3426" i="1"/>
  <c r="E3426" i="1"/>
  <c r="F3426" i="1"/>
  <c r="G3426" i="1"/>
  <c r="A3426" i="1"/>
  <c r="B3426" i="1"/>
  <c r="H3426" i="1"/>
  <c r="I3426" i="1"/>
  <c r="D3449" i="1"/>
  <c r="E3449" i="1"/>
  <c r="F3449" i="1"/>
  <c r="G3449" i="1"/>
  <c r="A3449" i="1"/>
  <c r="B3449" i="1"/>
  <c r="H3449" i="1"/>
  <c r="I3449" i="1"/>
  <c r="D1394" i="1"/>
  <c r="E1394" i="1"/>
  <c r="F1394" i="1"/>
  <c r="G1394" i="1"/>
  <c r="A1394" i="1"/>
  <c r="B1394" i="1"/>
  <c r="H1394" i="1"/>
  <c r="I1394" i="1"/>
  <c r="D3229" i="1"/>
  <c r="E3229" i="1"/>
  <c r="F3229" i="1"/>
  <c r="G3229" i="1"/>
  <c r="A3229" i="1"/>
  <c r="B3229" i="1"/>
  <c r="H3229" i="1"/>
  <c r="I3229" i="1"/>
  <c r="D1377" i="1"/>
  <c r="E1377" i="1"/>
  <c r="F1377" i="1"/>
  <c r="G1377" i="1"/>
  <c r="A1377" i="1"/>
  <c r="B1377" i="1"/>
  <c r="H1377" i="1"/>
  <c r="I1377" i="1"/>
  <c r="D1102" i="1"/>
  <c r="E1102" i="1"/>
  <c r="F1102" i="1"/>
  <c r="G1102" i="1"/>
  <c r="A1102" i="1"/>
  <c r="B1102" i="1"/>
  <c r="H1102" i="1"/>
  <c r="I1102" i="1"/>
  <c r="D1381" i="1"/>
  <c r="E1381" i="1"/>
  <c r="F1381" i="1"/>
  <c r="G1381" i="1"/>
  <c r="A1381" i="1"/>
  <c r="B1381" i="1"/>
  <c r="H1381" i="1"/>
  <c r="I1381" i="1"/>
  <c r="D2956" i="1"/>
  <c r="E2956" i="1"/>
  <c r="F2956" i="1"/>
  <c r="G2956" i="1"/>
  <c r="A2956" i="1"/>
  <c r="B2956" i="1"/>
  <c r="H2956" i="1"/>
  <c r="I2956" i="1"/>
  <c r="D284" i="1"/>
  <c r="E284" i="1"/>
  <c r="F284" i="1"/>
  <c r="G284" i="1"/>
  <c r="A284" i="1"/>
  <c r="B284" i="1"/>
  <c r="H284" i="1"/>
  <c r="I284" i="1"/>
  <c r="D3216" i="1"/>
  <c r="E3216" i="1"/>
  <c r="F3216" i="1"/>
  <c r="G3216" i="1"/>
  <c r="A3216" i="1"/>
  <c r="B3216" i="1"/>
  <c r="H3216" i="1"/>
  <c r="I3216" i="1"/>
  <c r="D3209" i="1"/>
  <c r="E3209" i="1"/>
  <c r="F3209" i="1"/>
  <c r="G3209" i="1"/>
  <c r="A3209" i="1"/>
  <c r="B3209" i="1"/>
  <c r="H3209" i="1"/>
  <c r="I3209" i="1"/>
  <c r="D1391" i="1"/>
  <c r="E1391" i="1"/>
  <c r="F1391" i="1"/>
  <c r="G1391" i="1"/>
  <c r="A1391" i="1"/>
  <c r="B1391" i="1"/>
  <c r="H1391" i="1"/>
  <c r="I1391" i="1"/>
  <c r="D3413" i="1"/>
  <c r="E3413" i="1"/>
  <c r="F3413" i="1"/>
  <c r="G3413" i="1"/>
  <c r="A3413" i="1"/>
  <c r="B3413" i="1"/>
  <c r="H3413" i="1"/>
  <c r="I3413" i="1"/>
  <c r="D1132" i="1"/>
  <c r="E1132" i="1"/>
  <c r="F1132" i="1"/>
  <c r="G1132" i="1"/>
  <c r="A1132" i="1"/>
  <c r="B1132" i="1"/>
  <c r="H1132" i="1"/>
  <c r="I1132" i="1"/>
  <c r="D3410" i="1"/>
  <c r="E3410" i="1"/>
  <c r="F3410" i="1"/>
  <c r="G3410" i="1"/>
  <c r="A3410" i="1"/>
  <c r="B3410" i="1"/>
  <c r="H3410" i="1"/>
  <c r="I3410" i="1"/>
  <c r="D3418" i="1"/>
  <c r="E3418" i="1"/>
  <c r="F3418" i="1"/>
  <c r="G3418" i="1"/>
  <c r="A3418" i="1"/>
  <c r="B3418" i="1"/>
  <c r="H3418" i="1"/>
  <c r="I3418" i="1"/>
  <c r="D1133" i="1"/>
  <c r="E1133" i="1"/>
  <c r="F1133" i="1"/>
  <c r="G1133" i="1"/>
  <c r="A1133" i="1"/>
  <c r="B1133" i="1"/>
  <c r="H1133" i="1"/>
  <c r="I1133" i="1"/>
  <c r="D1382" i="1"/>
  <c r="E1382" i="1"/>
  <c r="F1382" i="1"/>
  <c r="G1382" i="1"/>
  <c r="A1382" i="1"/>
  <c r="B1382" i="1"/>
  <c r="H1382" i="1"/>
  <c r="I1382" i="1"/>
  <c r="D3404" i="1"/>
  <c r="E3404" i="1"/>
  <c r="F3404" i="1"/>
  <c r="G3404" i="1"/>
  <c r="A3404" i="1"/>
  <c r="B3404" i="1"/>
  <c r="H3404" i="1"/>
  <c r="I3404" i="1"/>
  <c r="D1393" i="1"/>
  <c r="E1393" i="1"/>
  <c r="F1393" i="1"/>
  <c r="G1393" i="1"/>
  <c r="A1393" i="1"/>
  <c r="B1393" i="1"/>
  <c r="H1393" i="1"/>
  <c r="I1393" i="1"/>
  <c r="D287" i="1"/>
  <c r="E287" i="1"/>
  <c r="F287" i="1"/>
  <c r="G287" i="1"/>
  <c r="A287" i="1"/>
  <c r="B287" i="1"/>
  <c r="H287" i="1"/>
  <c r="I287" i="1"/>
  <c r="D2561" i="1"/>
  <c r="E2561" i="1"/>
  <c r="F2561" i="1"/>
  <c r="G2561" i="1"/>
  <c r="A2561" i="1"/>
  <c r="B2561" i="1"/>
  <c r="H2561" i="1"/>
  <c r="I2561" i="1"/>
  <c r="D2640" i="1"/>
  <c r="E2640" i="1"/>
  <c r="F2640" i="1"/>
  <c r="G2640" i="1"/>
  <c r="A2640" i="1"/>
  <c r="B2640" i="1"/>
  <c r="H2640" i="1"/>
  <c r="I2640" i="1"/>
  <c r="D1103" i="1"/>
  <c r="E1103" i="1"/>
  <c r="F1103" i="1"/>
  <c r="G1103" i="1"/>
  <c r="A1103" i="1"/>
  <c r="B1103" i="1"/>
  <c r="H1103" i="1"/>
  <c r="I1103" i="1"/>
  <c r="D3440" i="1"/>
  <c r="E3440" i="1"/>
  <c r="F3440" i="1"/>
  <c r="G3440" i="1"/>
  <c r="A3440" i="1"/>
  <c r="B3440" i="1"/>
  <c r="H3440" i="1"/>
  <c r="I3440" i="1"/>
  <c r="D3437" i="1"/>
  <c r="E3437" i="1"/>
  <c r="F3437" i="1"/>
  <c r="G3437" i="1"/>
  <c r="A3437" i="1"/>
  <c r="B3437" i="1"/>
  <c r="H3437" i="1"/>
  <c r="I3437" i="1"/>
  <c r="D3453" i="1"/>
  <c r="E3453" i="1"/>
  <c r="F3453" i="1"/>
  <c r="G3453" i="1"/>
  <c r="A3453" i="1"/>
  <c r="B3453" i="1"/>
  <c r="H3453" i="1"/>
  <c r="I3453" i="1"/>
  <c r="D3409" i="1"/>
  <c r="E3409" i="1"/>
  <c r="F3409" i="1"/>
  <c r="G3409" i="1"/>
  <c r="A3409" i="1"/>
  <c r="B3409" i="1"/>
  <c r="H3409" i="1"/>
  <c r="I3409" i="1"/>
  <c r="D3253" i="1"/>
  <c r="E3253" i="1"/>
  <c r="F3253" i="1"/>
  <c r="G3253" i="1"/>
  <c r="A3253" i="1"/>
  <c r="B3253" i="1"/>
  <c r="H3253" i="1"/>
  <c r="I3253" i="1"/>
  <c r="D3328" i="1"/>
  <c r="E3328" i="1"/>
  <c r="F3328" i="1"/>
  <c r="G3328" i="1"/>
  <c r="A3328" i="1"/>
  <c r="B3328" i="1"/>
  <c r="H3328" i="1"/>
  <c r="I3328" i="1"/>
  <c r="D1387" i="1"/>
  <c r="E1387" i="1"/>
  <c r="F1387" i="1"/>
  <c r="G1387" i="1"/>
  <c r="A1387" i="1"/>
  <c r="B1387" i="1"/>
  <c r="H1387" i="1"/>
  <c r="I1387" i="1"/>
  <c r="D3412" i="1"/>
  <c r="E3412" i="1"/>
  <c r="F3412" i="1"/>
  <c r="G3412" i="1"/>
  <c r="A3412" i="1"/>
  <c r="B3412" i="1"/>
  <c r="H3412" i="1"/>
  <c r="I3412" i="1"/>
  <c r="D3185" i="1"/>
  <c r="E3185" i="1"/>
  <c r="F3185" i="1"/>
  <c r="G3185" i="1"/>
  <c r="A3185" i="1"/>
  <c r="B3185" i="1"/>
  <c r="H3185" i="1"/>
  <c r="I3185" i="1"/>
  <c r="D3458" i="1"/>
  <c r="E3458" i="1"/>
  <c r="F3458" i="1"/>
  <c r="G3458" i="1"/>
  <c r="A3458" i="1"/>
  <c r="B3458" i="1"/>
  <c r="H3458" i="1"/>
  <c r="I3458" i="1"/>
  <c r="D1392" i="1"/>
  <c r="E1392" i="1"/>
  <c r="F1392" i="1"/>
  <c r="G1392" i="1"/>
  <c r="A1392" i="1"/>
  <c r="B1392" i="1"/>
  <c r="H1392" i="1"/>
  <c r="I1392" i="1"/>
  <c r="D3455" i="1"/>
  <c r="E3455" i="1"/>
  <c r="F3455" i="1"/>
  <c r="G3455" i="1"/>
  <c r="A3455" i="1"/>
  <c r="B3455" i="1"/>
  <c r="H3455" i="1"/>
  <c r="I3455" i="1"/>
  <c r="D3405" i="1"/>
  <c r="E3405" i="1"/>
  <c r="F3405" i="1"/>
  <c r="G3405" i="1"/>
  <c r="A3405" i="1"/>
  <c r="B3405" i="1"/>
  <c r="H3405" i="1"/>
  <c r="I3405" i="1"/>
  <c r="D3456" i="1"/>
  <c r="E3456" i="1"/>
  <c r="F3456" i="1"/>
  <c r="G3456" i="1"/>
  <c r="A3456" i="1"/>
  <c r="B3456" i="1"/>
  <c r="H3456" i="1"/>
  <c r="I3456" i="1"/>
  <c r="D3427" i="1"/>
  <c r="E3427" i="1"/>
  <c r="F3427" i="1"/>
  <c r="G3427" i="1"/>
  <c r="A3427" i="1"/>
  <c r="B3427" i="1"/>
  <c r="H3427" i="1"/>
  <c r="I3427" i="1"/>
  <c r="D3414" i="1"/>
  <c r="E3414" i="1"/>
  <c r="F3414" i="1"/>
  <c r="G3414" i="1"/>
  <c r="A3414" i="1"/>
  <c r="B3414" i="1"/>
  <c r="H3414" i="1"/>
  <c r="I3414" i="1"/>
  <c r="D3335" i="1"/>
  <c r="E3335" i="1"/>
  <c r="F3335" i="1"/>
  <c r="G3335" i="1"/>
  <c r="A3335" i="1"/>
  <c r="B3335" i="1"/>
  <c r="H3335" i="1"/>
  <c r="I3335" i="1"/>
  <c r="D3445" i="1"/>
  <c r="E3445" i="1"/>
  <c r="F3445" i="1"/>
  <c r="G3445" i="1"/>
  <c r="A3445" i="1"/>
  <c r="B3445" i="1"/>
  <c r="H3445" i="1"/>
  <c r="I3445" i="1"/>
  <c r="D3432" i="1"/>
  <c r="E3432" i="1"/>
  <c r="F3432" i="1"/>
  <c r="G3432" i="1"/>
  <c r="A3432" i="1"/>
  <c r="B3432" i="1"/>
  <c r="H3432" i="1"/>
  <c r="I3432" i="1"/>
  <c r="D3323" i="1"/>
  <c r="E3323" i="1"/>
  <c r="F3323" i="1"/>
  <c r="G3323" i="1"/>
  <c r="A3323" i="1"/>
  <c r="B3323" i="1"/>
  <c r="H3323" i="1"/>
  <c r="I3323" i="1"/>
  <c r="D1389" i="1"/>
  <c r="E1389" i="1"/>
  <c r="F1389" i="1"/>
  <c r="G1389" i="1"/>
  <c r="A1389" i="1"/>
  <c r="B1389" i="1"/>
  <c r="H1389" i="1"/>
  <c r="I1389" i="1"/>
  <c r="D3325" i="1"/>
  <c r="E3325" i="1"/>
  <c r="F3325" i="1"/>
  <c r="G3325" i="1"/>
  <c r="A3325" i="1"/>
  <c r="B3325" i="1"/>
  <c r="H3325" i="1"/>
  <c r="I3325" i="1"/>
  <c r="D1380" i="1"/>
  <c r="E1380" i="1"/>
  <c r="F1380" i="1"/>
  <c r="G1380" i="1"/>
  <c r="A1380" i="1"/>
  <c r="B1380" i="1"/>
  <c r="H1380" i="1"/>
  <c r="I1380" i="1"/>
  <c r="D3417" i="1"/>
  <c r="E3417" i="1"/>
  <c r="F3417" i="1"/>
  <c r="G3417" i="1"/>
  <c r="A3417" i="1"/>
  <c r="B3417" i="1"/>
  <c r="H3417" i="1"/>
  <c r="I3417" i="1"/>
  <c r="D3438" i="1"/>
  <c r="E3438" i="1"/>
  <c r="F3438" i="1"/>
  <c r="G3438" i="1"/>
  <c r="A3438" i="1"/>
  <c r="B3438" i="1"/>
  <c r="H3438" i="1"/>
  <c r="I3438" i="1"/>
  <c r="D3451" i="1"/>
  <c r="E3451" i="1"/>
  <c r="F3451" i="1"/>
  <c r="G3451" i="1"/>
  <c r="A3451" i="1"/>
  <c r="B3451" i="1"/>
  <c r="H3451" i="1"/>
  <c r="I3451" i="1"/>
  <c r="D3215" i="1"/>
  <c r="E3215" i="1"/>
  <c r="F3215" i="1"/>
  <c r="G3215" i="1"/>
  <c r="A3215" i="1"/>
  <c r="B3215" i="1"/>
  <c r="H3215" i="1"/>
  <c r="I3215" i="1"/>
  <c r="D3210" i="1"/>
  <c r="E3210" i="1"/>
  <c r="F3210" i="1"/>
  <c r="G3210" i="1"/>
  <c r="A3210" i="1"/>
  <c r="B3210" i="1"/>
  <c r="H3210" i="1"/>
  <c r="I3210" i="1"/>
  <c r="D3091" i="1"/>
  <c r="E3091" i="1"/>
  <c r="F3091" i="1"/>
  <c r="G3091" i="1"/>
  <c r="A3091" i="1"/>
  <c r="B3091" i="1"/>
  <c r="H3091" i="1"/>
  <c r="I3091" i="1"/>
  <c r="D2266" i="1"/>
  <c r="E2266" i="1"/>
  <c r="F2266" i="1"/>
  <c r="G2266" i="1"/>
  <c r="A2266" i="1"/>
  <c r="B2266" i="1"/>
  <c r="H2266" i="1"/>
  <c r="I2266" i="1"/>
  <c r="D3327" i="1"/>
  <c r="E3327" i="1"/>
  <c r="F3327" i="1"/>
  <c r="G3327" i="1"/>
  <c r="A3327" i="1"/>
  <c r="B3327" i="1"/>
  <c r="H3327" i="1"/>
  <c r="I3327" i="1"/>
  <c r="D3408" i="1"/>
  <c r="E3408" i="1"/>
  <c r="F3408" i="1"/>
  <c r="G3408" i="1"/>
  <c r="A3408" i="1"/>
  <c r="B3408" i="1"/>
  <c r="H3408" i="1"/>
  <c r="I3408" i="1"/>
  <c r="D3422" i="1"/>
  <c r="E3422" i="1"/>
  <c r="F3422" i="1"/>
  <c r="G3422" i="1"/>
  <c r="A3422" i="1"/>
  <c r="B3422" i="1"/>
  <c r="H3422" i="1"/>
  <c r="I3422" i="1"/>
  <c r="D1376" i="1"/>
  <c r="E1376" i="1"/>
  <c r="F1376" i="1"/>
  <c r="G1376" i="1"/>
  <c r="A1376" i="1"/>
  <c r="B1376" i="1"/>
  <c r="H1376" i="1"/>
  <c r="I1376" i="1"/>
  <c r="D3460" i="1"/>
  <c r="E3460" i="1"/>
  <c r="F3460" i="1"/>
  <c r="G3460" i="1"/>
  <c r="A3460" i="1"/>
  <c r="B3460" i="1"/>
  <c r="H3460" i="1"/>
  <c r="I3460" i="1"/>
  <c r="D3324" i="1"/>
  <c r="E3324" i="1"/>
  <c r="F3324" i="1"/>
  <c r="G3324" i="1"/>
  <c r="A3324" i="1"/>
  <c r="B3324" i="1"/>
  <c r="H3324" i="1"/>
  <c r="I3324" i="1"/>
  <c r="D1375" i="1"/>
  <c r="E1375" i="1"/>
  <c r="F1375" i="1"/>
  <c r="G1375" i="1"/>
  <c r="A1375" i="1"/>
  <c r="B1375" i="1"/>
  <c r="H1375" i="1"/>
  <c r="I1375" i="1"/>
  <c r="D3443" i="1"/>
  <c r="E3443" i="1"/>
  <c r="F3443" i="1"/>
  <c r="G3443" i="1"/>
  <c r="A3443" i="1"/>
  <c r="B3443" i="1"/>
  <c r="H3443" i="1"/>
  <c r="I3443" i="1"/>
  <c r="D3442" i="1"/>
  <c r="E3442" i="1"/>
  <c r="F3442" i="1"/>
  <c r="G3442" i="1"/>
  <c r="A3442" i="1"/>
  <c r="B3442" i="1"/>
  <c r="H3442" i="1"/>
  <c r="I3442" i="1"/>
  <c r="D286" i="1"/>
  <c r="E286" i="1"/>
  <c r="F286" i="1"/>
  <c r="G286" i="1"/>
  <c r="A286" i="1"/>
  <c r="B286" i="1"/>
  <c r="H286" i="1"/>
  <c r="I286" i="1"/>
  <c r="D3457" i="1"/>
  <c r="E3457" i="1"/>
  <c r="F3457" i="1"/>
  <c r="G3457" i="1"/>
  <c r="A3457" i="1"/>
  <c r="B3457" i="1"/>
  <c r="H3457" i="1"/>
  <c r="I3457" i="1"/>
  <c r="D3217" i="1"/>
  <c r="E3217" i="1"/>
  <c r="F3217" i="1"/>
  <c r="G3217" i="1"/>
  <c r="A3217" i="1"/>
  <c r="B3217" i="1"/>
  <c r="H3217" i="1"/>
  <c r="I3217" i="1"/>
  <c r="D1078" i="1"/>
  <c r="E1078" i="1"/>
  <c r="F1078" i="1"/>
  <c r="G1078" i="1"/>
  <c r="A1078" i="1"/>
  <c r="B1078" i="1"/>
  <c r="H1078" i="1"/>
  <c r="I1078" i="1"/>
  <c r="D1384" i="1"/>
  <c r="E1384" i="1"/>
  <c r="F1384" i="1"/>
  <c r="G1384" i="1"/>
  <c r="A1384" i="1"/>
  <c r="B1384" i="1"/>
  <c r="H1384" i="1"/>
  <c r="I1384" i="1"/>
  <c r="D3463" i="1"/>
  <c r="E3463" i="1"/>
  <c r="F3463" i="1"/>
  <c r="G3463" i="1"/>
  <c r="A3463" i="1"/>
  <c r="B3463" i="1"/>
  <c r="H3463" i="1"/>
  <c r="I3463" i="1"/>
  <c r="D289" i="1"/>
  <c r="E289" i="1"/>
  <c r="F289" i="1"/>
  <c r="G289" i="1"/>
  <c r="A289" i="1"/>
  <c r="B289" i="1"/>
  <c r="H289" i="1"/>
  <c r="I289" i="1"/>
  <c r="D3448" i="1"/>
  <c r="E3448" i="1"/>
  <c r="F3448" i="1"/>
  <c r="G3448" i="1"/>
  <c r="A3448" i="1"/>
  <c r="B3448" i="1"/>
  <c r="H3448" i="1"/>
  <c r="I3448" i="1"/>
  <c r="D3452" i="1"/>
  <c r="E3452" i="1"/>
  <c r="F3452" i="1"/>
  <c r="G3452" i="1"/>
  <c r="A3452" i="1"/>
  <c r="B3452" i="1"/>
  <c r="H3452" i="1"/>
  <c r="I3452" i="1"/>
  <c r="D3433" i="1"/>
  <c r="E3433" i="1"/>
  <c r="F3433" i="1"/>
  <c r="G3433" i="1"/>
  <c r="A3433" i="1"/>
  <c r="B3433" i="1"/>
  <c r="H3433" i="1"/>
  <c r="I3433" i="1"/>
  <c r="D3184" i="1"/>
  <c r="E3184" i="1"/>
  <c r="F3184" i="1"/>
  <c r="G3184" i="1"/>
  <c r="A3184" i="1"/>
  <c r="B3184" i="1"/>
  <c r="H3184" i="1"/>
  <c r="I3184" i="1"/>
  <c r="D3213" i="1"/>
  <c r="E3213" i="1"/>
  <c r="F3213" i="1"/>
  <c r="G3213" i="1"/>
  <c r="A3213" i="1"/>
  <c r="B3213" i="1"/>
  <c r="H3213" i="1"/>
  <c r="I3213" i="1"/>
  <c r="D1385" i="1"/>
  <c r="E1385" i="1"/>
  <c r="F1385" i="1"/>
  <c r="G1385" i="1"/>
  <c r="A1385" i="1"/>
  <c r="B1385" i="1"/>
  <c r="H1385" i="1"/>
  <c r="I1385" i="1"/>
  <c r="D3214" i="1"/>
  <c r="E3214" i="1"/>
  <c r="F3214" i="1"/>
  <c r="G3214" i="1"/>
  <c r="A3214" i="1"/>
  <c r="B3214" i="1"/>
  <c r="H3214" i="1"/>
  <c r="I3214" i="1"/>
  <c r="D3436" i="1"/>
  <c r="E3436" i="1"/>
  <c r="F3436" i="1"/>
  <c r="G3436" i="1"/>
  <c r="A3436" i="1"/>
  <c r="B3436" i="1"/>
  <c r="H3436" i="1"/>
  <c r="I3436" i="1"/>
  <c r="D132" i="1"/>
  <c r="E132" i="1"/>
  <c r="F132" i="1"/>
  <c r="G132" i="1"/>
  <c r="A132" i="1"/>
  <c r="B132" i="1"/>
  <c r="H132" i="1"/>
  <c r="I132" i="1"/>
  <c r="D133" i="1"/>
  <c r="E133" i="1"/>
  <c r="F133" i="1"/>
  <c r="G133" i="1"/>
  <c r="A133" i="1"/>
  <c r="B133" i="1"/>
  <c r="H133" i="1"/>
  <c r="I133" i="1"/>
  <c r="D3419" i="1"/>
  <c r="E3419" i="1"/>
  <c r="F3419" i="1"/>
  <c r="G3419" i="1"/>
  <c r="A3419" i="1"/>
  <c r="B3419" i="1"/>
  <c r="H3419" i="1"/>
  <c r="I3419" i="1"/>
  <c r="D3420" i="1"/>
  <c r="E3420" i="1"/>
  <c r="F3420" i="1"/>
  <c r="G3420" i="1"/>
  <c r="A3420" i="1"/>
  <c r="B3420" i="1"/>
  <c r="H3420" i="1"/>
  <c r="I3420" i="1"/>
  <c r="D3415" i="1"/>
  <c r="E3415" i="1"/>
  <c r="F3415" i="1"/>
  <c r="G3415" i="1"/>
  <c r="A3415" i="1"/>
  <c r="B3415" i="1"/>
  <c r="H3415" i="1"/>
  <c r="I3415" i="1"/>
  <c r="D291" i="1"/>
  <c r="E291" i="1"/>
  <c r="F291" i="1"/>
  <c r="G291" i="1"/>
  <c r="A291" i="1"/>
  <c r="B291" i="1"/>
  <c r="H291" i="1"/>
  <c r="I291" i="1"/>
  <c r="D3444" i="1"/>
  <c r="E3444" i="1"/>
  <c r="F3444" i="1"/>
  <c r="G3444" i="1"/>
  <c r="A3444" i="1"/>
  <c r="B3444" i="1"/>
  <c r="H3444" i="1"/>
  <c r="I3444" i="1"/>
  <c r="D3459" i="1"/>
  <c r="E3459" i="1"/>
  <c r="F3459" i="1"/>
  <c r="G3459" i="1"/>
  <c r="A3459" i="1"/>
  <c r="B3459" i="1"/>
  <c r="H3459" i="1"/>
  <c r="I3459" i="1"/>
  <c r="D3428" i="1"/>
  <c r="E3428" i="1"/>
  <c r="F3428" i="1"/>
  <c r="G3428" i="1"/>
  <c r="A3428" i="1"/>
  <c r="B3428" i="1"/>
  <c r="H3428" i="1"/>
  <c r="I3428" i="1"/>
  <c r="D3454" i="1"/>
  <c r="E3454" i="1"/>
  <c r="F3454" i="1"/>
  <c r="G3454" i="1"/>
  <c r="A3454" i="1"/>
  <c r="B3454" i="1"/>
  <c r="H3454" i="1"/>
  <c r="I3454" i="1"/>
  <c r="D3322" i="1"/>
  <c r="E3322" i="1"/>
  <c r="F3322" i="1"/>
  <c r="G3322" i="1"/>
  <c r="A3322" i="1"/>
  <c r="B3322" i="1"/>
  <c r="H3322" i="1"/>
  <c r="I3322" i="1"/>
  <c r="D3461" i="1"/>
  <c r="E3461" i="1"/>
  <c r="F3461" i="1"/>
  <c r="G3461" i="1"/>
  <c r="A3461" i="1"/>
  <c r="B3461" i="1"/>
  <c r="H3461" i="1"/>
  <c r="I3461" i="1"/>
  <c r="D1130" i="1"/>
  <c r="E1130" i="1"/>
  <c r="F1130" i="1"/>
  <c r="G1130" i="1"/>
  <c r="A1130" i="1"/>
  <c r="B1130" i="1"/>
  <c r="H1130" i="1"/>
  <c r="I1130" i="1"/>
  <c r="D3186" i="1"/>
  <c r="E3186" i="1"/>
  <c r="F3186" i="1"/>
  <c r="G3186" i="1"/>
  <c r="A3186" i="1"/>
  <c r="B3186" i="1"/>
  <c r="H3186" i="1"/>
  <c r="I3186" i="1"/>
  <c r="D3447" i="1"/>
  <c r="E3447" i="1"/>
  <c r="F3447" i="1"/>
  <c r="G3447" i="1"/>
  <c r="A3447" i="1"/>
  <c r="B3447" i="1"/>
  <c r="H3447" i="1"/>
  <c r="I3447" i="1"/>
  <c r="D1378" i="1"/>
  <c r="E1378" i="1"/>
  <c r="F1378" i="1"/>
  <c r="G1378" i="1"/>
  <c r="A1378" i="1"/>
  <c r="B1378" i="1"/>
  <c r="H1378" i="1"/>
  <c r="I1378" i="1"/>
  <c r="D3421" i="1"/>
  <c r="E3421" i="1"/>
  <c r="F3421" i="1"/>
  <c r="G3421" i="1"/>
  <c r="A3421" i="1"/>
  <c r="B3421" i="1"/>
  <c r="H3421" i="1"/>
  <c r="I3421" i="1"/>
  <c r="D3424" i="1"/>
  <c r="E3424" i="1"/>
  <c r="F3424" i="1"/>
  <c r="G3424" i="1"/>
  <c r="A3424" i="1"/>
  <c r="B3424" i="1"/>
  <c r="H3424" i="1"/>
  <c r="I3424" i="1"/>
  <c r="D3425" i="1"/>
  <c r="E3425" i="1"/>
  <c r="F3425" i="1"/>
  <c r="G3425" i="1"/>
  <c r="A3425" i="1"/>
  <c r="B3425" i="1"/>
  <c r="H3425" i="1"/>
  <c r="I3425" i="1"/>
  <c r="D2148" i="1"/>
  <c r="E2148" i="1"/>
  <c r="F2148" i="1"/>
  <c r="G2148" i="1"/>
  <c r="A2148" i="1"/>
  <c r="B2148" i="1"/>
  <c r="H2148" i="1"/>
  <c r="I2148" i="1"/>
  <c r="D1395" i="1"/>
  <c r="E1395" i="1"/>
  <c r="F1395" i="1"/>
  <c r="G1395" i="1"/>
  <c r="A1395" i="1"/>
  <c r="B1395" i="1"/>
  <c r="H1395" i="1"/>
  <c r="I1395" i="1"/>
  <c r="D3464" i="1"/>
  <c r="E3464" i="1"/>
  <c r="F3464" i="1"/>
  <c r="G3464" i="1"/>
  <c r="A3464" i="1"/>
  <c r="B3464" i="1"/>
  <c r="H3464" i="1"/>
  <c r="I3464" i="1"/>
  <c r="D2775" i="1"/>
  <c r="E2775" i="1"/>
  <c r="F2775" i="1"/>
  <c r="G2775" i="1"/>
  <c r="A2775" i="1"/>
  <c r="B2775" i="1"/>
  <c r="H2775" i="1"/>
  <c r="I2775" i="1"/>
  <c r="D3211" i="1"/>
  <c r="E3211" i="1"/>
  <c r="F3211" i="1"/>
  <c r="G3211" i="1"/>
  <c r="A3211" i="1"/>
  <c r="B3211" i="1"/>
  <c r="H3211" i="1"/>
  <c r="I3211" i="1"/>
  <c r="D3435" i="1"/>
  <c r="E3435" i="1"/>
  <c r="F3435" i="1"/>
  <c r="G3435" i="1"/>
  <c r="A3435" i="1"/>
  <c r="B3435" i="1"/>
  <c r="H3435" i="1"/>
  <c r="I3435" i="1"/>
  <c r="D3429" i="1"/>
  <c r="E3429" i="1"/>
  <c r="F3429" i="1"/>
  <c r="G3429" i="1"/>
  <c r="A3429" i="1"/>
  <c r="B3429" i="1"/>
  <c r="H3429" i="1"/>
  <c r="I3429" i="1"/>
  <c r="D3326" i="1"/>
  <c r="E3326" i="1"/>
  <c r="F3326" i="1"/>
  <c r="G3326" i="1"/>
  <c r="A3326" i="1"/>
  <c r="B3326" i="1"/>
  <c r="H3326" i="1"/>
  <c r="I3326" i="1"/>
  <c r="D3406" i="1"/>
  <c r="E3406" i="1"/>
  <c r="F3406" i="1"/>
  <c r="G3406" i="1"/>
  <c r="A3406" i="1"/>
  <c r="B3406" i="1"/>
  <c r="H3406" i="1"/>
  <c r="I3406" i="1"/>
  <c r="D3407" i="1"/>
  <c r="E3407" i="1"/>
  <c r="F3407" i="1"/>
  <c r="G3407" i="1"/>
  <c r="A3407" i="1"/>
  <c r="B3407" i="1"/>
  <c r="H3407" i="1"/>
  <c r="I3407" i="1"/>
  <c r="D3423" i="1"/>
  <c r="E3423" i="1"/>
  <c r="F3423" i="1"/>
  <c r="G3423" i="1"/>
  <c r="A3423" i="1"/>
  <c r="B3423" i="1"/>
  <c r="H3423" i="1"/>
  <c r="I3423" i="1"/>
  <c r="D3430" i="1"/>
  <c r="E3430" i="1"/>
  <c r="F3430" i="1"/>
  <c r="G3430" i="1"/>
  <c r="A3430" i="1"/>
  <c r="B3430" i="1"/>
  <c r="H3430" i="1"/>
  <c r="I3430" i="1"/>
  <c r="D1134" i="1"/>
  <c r="E1134" i="1"/>
  <c r="F1134" i="1"/>
  <c r="G1134" i="1"/>
  <c r="A1134" i="1"/>
  <c r="B1134" i="1"/>
  <c r="H1134" i="1"/>
  <c r="I1134" i="1"/>
  <c r="D3439" i="1"/>
  <c r="E3439" i="1"/>
  <c r="F3439" i="1"/>
  <c r="G3439" i="1"/>
  <c r="A3439" i="1"/>
  <c r="B3439" i="1"/>
  <c r="H3439" i="1"/>
  <c r="I3439" i="1"/>
  <c r="D1390" i="1"/>
  <c r="E1390" i="1"/>
  <c r="F1390" i="1"/>
  <c r="G1390" i="1"/>
  <c r="A1390" i="1"/>
  <c r="B1390" i="1"/>
  <c r="H1390" i="1"/>
  <c r="I1390" i="1"/>
  <c r="D3431" i="1"/>
  <c r="E3431" i="1"/>
  <c r="F3431" i="1"/>
  <c r="G3431" i="1"/>
  <c r="A3431" i="1"/>
  <c r="B3431" i="1"/>
  <c r="H3431" i="1"/>
  <c r="I3431" i="1"/>
  <c r="D3336" i="1"/>
  <c r="E3336" i="1"/>
  <c r="F3336" i="1"/>
  <c r="G3336" i="1"/>
  <c r="A3336" i="1"/>
  <c r="B3336" i="1"/>
  <c r="H3336" i="1"/>
  <c r="I3336" i="1"/>
  <c r="D3218" i="1"/>
  <c r="E3218" i="1"/>
  <c r="F3218" i="1"/>
  <c r="G3218" i="1"/>
  <c r="A3218" i="1"/>
  <c r="B3218" i="1"/>
  <c r="H3218" i="1"/>
  <c r="I3218" i="1"/>
  <c r="D3416" i="1"/>
  <c r="E3416" i="1"/>
  <c r="F3416" i="1"/>
  <c r="G3416" i="1"/>
  <c r="A3416" i="1"/>
  <c r="B3416" i="1"/>
  <c r="H3416" i="1"/>
  <c r="I3416" i="1"/>
  <c r="D1131" i="1"/>
  <c r="E1131" i="1"/>
  <c r="F1131" i="1"/>
  <c r="G1131" i="1"/>
  <c r="A1131" i="1"/>
  <c r="B1131" i="1"/>
  <c r="H1131" i="1"/>
  <c r="I1131" i="1"/>
  <c r="D3212" i="1"/>
  <c r="E3212" i="1"/>
  <c r="F3212" i="1"/>
  <c r="G3212" i="1"/>
  <c r="A3212" i="1"/>
  <c r="B3212" i="1"/>
  <c r="H3212" i="1"/>
  <c r="I3212" i="1"/>
  <c r="D3450" i="1"/>
  <c r="E3450" i="1"/>
  <c r="F3450" i="1"/>
  <c r="G3450" i="1"/>
  <c r="A3450" i="1"/>
  <c r="B3450" i="1"/>
  <c r="H3450" i="1"/>
  <c r="I3450" i="1"/>
  <c r="D285" i="1"/>
  <c r="E285" i="1"/>
  <c r="F285" i="1"/>
  <c r="G285" i="1"/>
  <c r="A285" i="1"/>
  <c r="B285" i="1"/>
  <c r="H285" i="1"/>
  <c r="I285" i="1"/>
  <c r="D1386" i="1"/>
  <c r="E1386" i="1"/>
  <c r="F1386" i="1"/>
  <c r="G1386" i="1"/>
  <c r="A1386" i="1"/>
  <c r="B1386" i="1"/>
  <c r="H1386" i="1"/>
  <c r="I1386" i="1"/>
  <c r="D3441" i="1"/>
  <c r="E3441" i="1"/>
  <c r="F3441" i="1"/>
  <c r="G3441" i="1"/>
  <c r="A3441" i="1"/>
  <c r="B3441" i="1"/>
  <c r="H3441" i="1"/>
  <c r="I3441" i="1"/>
  <c r="D3508" i="1"/>
  <c r="E3508" i="1"/>
  <c r="F3508" i="1"/>
  <c r="G3508" i="1"/>
  <c r="A3508" i="1"/>
  <c r="B3508" i="1"/>
  <c r="H3508" i="1"/>
  <c r="I3508" i="1"/>
  <c r="D1383" i="1"/>
  <c r="E1383" i="1"/>
  <c r="F1383" i="1"/>
  <c r="G1383" i="1"/>
  <c r="A1383" i="1"/>
  <c r="B1383" i="1"/>
  <c r="H1383" i="1"/>
  <c r="I1383" i="1"/>
  <c r="D3462" i="1"/>
  <c r="E3462" i="1"/>
  <c r="F3462" i="1"/>
  <c r="G3462" i="1"/>
  <c r="A3462" i="1"/>
  <c r="B3462" i="1"/>
  <c r="H3462" i="1"/>
  <c r="I3462" i="1"/>
  <c r="D426" i="1"/>
  <c r="E426" i="1"/>
  <c r="F426" i="1"/>
  <c r="G426" i="1"/>
  <c r="A426" i="1"/>
  <c r="B426" i="1"/>
  <c r="H426" i="1"/>
  <c r="I426" i="1"/>
  <c r="D427" i="1"/>
  <c r="E427" i="1"/>
  <c r="F427" i="1"/>
  <c r="G427" i="1"/>
  <c r="A427" i="1"/>
  <c r="B427" i="1"/>
  <c r="H427" i="1"/>
  <c r="I427" i="1"/>
  <c r="D429" i="1"/>
  <c r="E429" i="1"/>
  <c r="F429" i="1"/>
  <c r="G429" i="1"/>
  <c r="A429" i="1"/>
  <c r="B429" i="1"/>
  <c r="H429" i="1"/>
  <c r="I429" i="1"/>
  <c r="D434" i="1"/>
  <c r="E434" i="1"/>
  <c r="F434" i="1"/>
  <c r="G434" i="1"/>
  <c r="A434" i="1"/>
  <c r="B434" i="1"/>
  <c r="H434" i="1"/>
  <c r="I434" i="1"/>
  <c r="D438" i="1"/>
  <c r="E438" i="1"/>
  <c r="F438" i="1"/>
  <c r="G438" i="1"/>
  <c r="A438" i="1"/>
  <c r="B438" i="1"/>
  <c r="H438" i="1"/>
  <c r="I438" i="1"/>
  <c r="D3038" i="1"/>
  <c r="E3038" i="1"/>
  <c r="F3038" i="1"/>
  <c r="G3038" i="1"/>
  <c r="A3038" i="1"/>
  <c r="B3038" i="1"/>
  <c r="H3038" i="1"/>
  <c r="I3038" i="1"/>
  <c r="D3040" i="1"/>
  <c r="E3040" i="1"/>
  <c r="F3040" i="1"/>
  <c r="G3040" i="1"/>
  <c r="A3040" i="1"/>
  <c r="B3040" i="1"/>
  <c r="H3040" i="1"/>
  <c r="I3040" i="1"/>
  <c r="D428" i="1"/>
  <c r="E428" i="1"/>
  <c r="F428" i="1"/>
  <c r="G428" i="1"/>
  <c r="A428" i="1"/>
  <c r="B428" i="1"/>
  <c r="H428" i="1"/>
  <c r="I428" i="1"/>
  <c r="D3382" i="1"/>
  <c r="E3382" i="1"/>
  <c r="F3382" i="1"/>
  <c r="G3382" i="1"/>
  <c r="A3382" i="1"/>
  <c r="B3382" i="1"/>
  <c r="H3382" i="1"/>
  <c r="I3382" i="1"/>
  <c r="D67" i="1"/>
  <c r="E67" i="1"/>
  <c r="F67" i="1"/>
  <c r="G67" i="1"/>
  <c r="A67" i="1"/>
  <c r="B67" i="1"/>
  <c r="H67" i="1"/>
  <c r="I67" i="1"/>
  <c r="D439" i="1"/>
  <c r="E439" i="1"/>
  <c r="F439" i="1"/>
  <c r="G439" i="1"/>
  <c r="A439" i="1"/>
  <c r="B439" i="1"/>
  <c r="H439" i="1"/>
  <c r="I439" i="1"/>
  <c r="D431" i="1"/>
  <c r="E431" i="1"/>
  <c r="F431" i="1"/>
  <c r="G431" i="1"/>
  <c r="A431" i="1"/>
  <c r="B431" i="1"/>
  <c r="H431" i="1"/>
  <c r="I431" i="1"/>
  <c r="D73" i="1"/>
  <c r="E73" i="1"/>
  <c r="F73" i="1"/>
  <c r="G73" i="1"/>
  <c r="A73" i="1"/>
  <c r="B73" i="1"/>
  <c r="H73" i="1"/>
  <c r="I73" i="1"/>
  <c r="D437" i="1"/>
  <c r="E437" i="1"/>
  <c r="F437" i="1"/>
  <c r="G437" i="1"/>
  <c r="A437" i="1"/>
  <c r="B437" i="1"/>
  <c r="H437" i="1"/>
  <c r="I437" i="1"/>
  <c r="D444" i="1"/>
  <c r="E444" i="1"/>
  <c r="F444" i="1"/>
  <c r="G444" i="1"/>
  <c r="A444" i="1"/>
  <c r="B444" i="1"/>
  <c r="H444" i="1"/>
  <c r="I444" i="1"/>
  <c r="D2827" i="1"/>
  <c r="E2827" i="1"/>
  <c r="F2827" i="1"/>
  <c r="G2827" i="1"/>
  <c r="A2827" i="1"/>
  <c r="B2827" i="1"/>
  <c r="H2827" i="1"/>
  <c r="I2827" i="1"/>
  <c r="D3154" i="1"/>
  <c r="E3154" i="1"/>
  <c r="F3154" i="1"/>
  <c r="G3154" i="1"/>
  <c r="A3154" i="1"/>
  <c r="B3154" i="1"/>
  <c r="H3154" i="1"/>
  <c r="I3154" i="1"/>
  <c r="D56" i="1"/>
  <c r="E56" i="1"/>
  <c r="F56" i="1"/>
  <c r="G56" i="1"/>
  <c r="A56" i="1"/>
  <c r="B56" i="1"/>
  <c r="H56" i="1"/>
  <c r="I56" i="1"/>
  <c r="D75" i="1"/>
  <c r="E75" i="1"/>
  <c r="F75" i="1"/>
  <c r="G75" i="1"/>
  <c r="A75" i="1"/>
  <c r="B75" i="1"/>
  <c r="H75" i="1"/>
  <c r="I75" i="1"/>
  <c r="D2826" i="1"/>
  <c r="E2826" i="1"/>
  <c r="F2826" i="1"/>
  <c r="G2826" i="1"/>
  <c r="A2826" i="1"/>
  <c r="B2826" i="1"/>
  <c r="H2826" i="1"/>
  <c r="I2826" i="1"/>
  <c r="D320" i="1"/>
  <c r="E320" i="1"/>
  <c r="F320" i="1"/>
  <c r="G320" i="1"/>
  <c r="A320" i="1"/>
  <c r="B320" i="1"/>
  <c r="H320" i="1"/>
  <c r="I320" i="1"/>
  <c r="D59" i="1"/>
  <c r="E59" i="1"/>
  <c r="F59" i="1"/>
  <c r="G59" i="1"/>
  <c r="A59" i="1"/>
  <c r="B59" i="1"/>
  <c r="H59" i="1"/>
  <c r="I59" i="1"/>
  <c r="D2739" i="1"/>
  <c r="E2739" i="1"/>
  <c r="F2739" i="1"/>
  <c r="G2739" i="1"/>
  <c r="A2739" i="1"/>
  <c r="B2739" i="1"/>
  <c r="H2739" i="1"/>
  <c r="I2739" i="1"/>
  <c r="D3037" i="1"/>
  <c r="E3037" i="1"/>
  <c r="F3037" i="1"/>
  <c r="G3037" i="1"/>
  <c r="A3037" i="1"/>
  <c r="B3037" i="1"/>
  <c r="H3037" i="1"/>
  <c r="I3037" i="1"/>
  <c r="D3039" i="1"/>
  <c r="E3039" i="1"/>
  <c r="F3039" i="1"/>
  <c r="G3039" i="1"/>
  <c r="A3039" i="1"/>
  <c r="B3039" i="1"/>
  <c r="H3039" i="1"/>
  <c r="I3039" i="1"/>
  <c r="D3156" i="1"/>
  <c r="E3156" i="1"/>
  <c r="F3156" i="1"/>
  <c r="G3156" i="1"/>
  <c r="A3156" i="1"/>
  <c r="B3156" i="1"/>
  <c r="H3156" i="1"/>
  <c r="I3156" i="1"/>
  <c r="D321" i="1"/>
  <c r="E321" i="1"/>
  <c r="F321" i="1"/>
  <c r="G321" i="1"/>
  <c r="A321" i="1"/>
  <c r="B321" i="1"/>
  <c r="H321" i="1"/>
  <c r="I321" i="1"/>
  <c r="D2740" i="1"/>
  <c r="E2740" i="1"/>
  <c r="F2740" i="1"/>
  <c r="G2740" i="1"/>
  <c r="A2740" i="1"/>
  <c r="B2740" i="1"/>
  <c r="H2740" i="1"/>
  <c r="I2740" i="1"/>
  <c r="D60" i="1"/>
  <c r="E60" i="1"/>
  <c r="F60" i="1"/>
  <c r="G60" i="1"/>
  <c r="A60" i="1"/>
  <c r="B60" i="1"/>
  <c r="H60" i="1"/>
  <c r="I60" i="1"/>
  <c r="D3379" i="1"/>
  <c r="E3379" i="1"/>
  <c r="F3379" i="1"/>
  <c r="G3379" i="1"/>
  <c r="A3379" i="1"/>
  <c r="B3379" i="1"/>
  <c r="H3379" i="1"/>
  <c r="I3379" i="1"/>
  <c r="D442" i="1"/>
  <c r="E442" i="1"/>
  <c r="F442" i="1"/>
  <c r="G442" i="1"/>
  <c r="A442" i="1"/>
  <c r="B442" i="1"/>
  <c r="H442" i="1"/>
  <c r="I442" i="1"/>
  <c r="D446" i="1"/>
  <c r="E446" i="1"/>
  <c r="F446" i="1"/>
  <c r="G446" i="1"/>
  <c r="A446" i="1"/>
  <c r="B446" i="1"/>
  <c r="H446" i="1"/>
  <c r="I446" i="1"/>
  <c r="D324" i="1"/>
  <c r="E324" i="1"/>
  <c r="F324" i="1"/>
  <c r="G324" i="1"/>
  <c r="A324" i="1"/>
  <c r="B324" i="1"/>
  <c r="H324" i="1"/>
  <c r="I324" i="1"/>
  <c r="D62" i="1"/>
  <c r="E62" i="1"/>
  <c r="F62" i="1"/>
  <c r="G62" i="1"/>
  <c r="A62" i="1"/>
  <c r="B62" i="1"/>
  <c r="H62" i="1"/>
  <c r="I62" i="1"/>
  <c r="D66" i="1"/>
  <c r="E66" i="1"/>
  <c r="F66" i="1"/>
  <c r="G66" i="1"/>
  <c r="A66" i="1"/>
  <c r="B66" i="1"/>
  <c r="H66" i="1"/>
  <c r="I66" i="1"/>
  <c r="D3152" i="1"/>
  <c r="E3152" i="1"/>
  <c r="F3152" i="1"/>
  <c r="G3152" i="1"/>
  <c r="A3152" i="1"/>
  <c r="B3152" i="1"/>
  <c r="H3152" i="1"/>
  <c r="I3152" i="1"/>
  <c r="D1773" i="1"/>
  <c r="E1773" i="1"/>
  <c r="F1773" i="1"/>
  <c r="G1773" i="1"/>
  <c r="A1773" i="1"/>
  <c r="B1773" i="1"/>
  <c r="H1773" i="1"/>
  <c r="I1773" i="1"/>
  <c r="D3021" i="1"/>
  <c r="E3021" i="1"/>
  <c r="F3021" i="1"/>
  <c r="G3021" i="1"/>
  <c r="A3021" i="1"/>
  <c r="B3021" i="1"/>
  <c r="H3021" i="1"/>
  <c r="I3021" i="1"/>
  <c r="D57" i="1"/>
  <c r="E57" i="1"/>
  <c r="F57" i="1"/>
  <c r="G57" i="1"/>
  <c r="A57" i="1"/>
  <c r="B57" i="1"/>
  <c r="H57" i="1"/>
  <c r="I57" i="1"/>
  <c r="D70" i="1"/>
  <c r="E70" i="1"/>
  <c r="F70" i="1"/>
  <c r="G70" i="1"/>
  <c r="A70" i="1"/>
  <c r="B70" i="1"/>
  <c r="H70" i="1"/>
  <c r="I70" i="1"/>
  <c r="D3153" i="1"/>
  <c r="E3153" i="1"/>
  <c r="F3153" i="1"/>
  <c r="G3153" i="1"/>
  <c r="A3153" i="1"/>
  <c r="B3153" i="1"/>
  <c r="H3153" i="1"/>
  <c r="I3153" i="1"/>
  <c r="D3155" i="1"/>
  <c r="E3155" i="1"/>
  <c r="F3155" i="1"/>
  <c r="G3155" i="1"/>
  <c r="A3155" i="1"/>
  <c r="B3155" i="1"/>
  <c r="H3155" i="1"/>
  <c r="I3155" i="1"/>
  <c r="D445" i="1"/>
  <c r="E445" i="1"/>
  <c r="F445" i="1"/>
  <c r="G445" i="1"/>
  <c r="A445" i="1"/>
  <c r="B445" i="1"/>
  <c r="H445" i="1"/>
  <c r="I445" i="1"/>
  <c r="D435" i="1"/>
  <c r="E435" i="1"/>
  <c r="F435" i="1"/>
  <c r="G435" i="1"/>
  <c r="A435" i="1"/>
  <c r="B435" i="1"/>
  <c r="H435" i="1"/>
  <c r="I435" i="1"/>
  <c r="D433" i="1"/>
  <c r="E433" i="1"/>
  <c r="F433" i="1"/>
  <c r="G433" i="1"/>
  <c r="A433" i="1"/>
  <c r="B433" i="1"/>
  <c r="H433" i="1"/>
  <c r="I433" i="1"/>
  <c r="D3510" i="1"/>
  <c r="E3510" i="1"/>
  <c r="F3510" i="1"/>
  <c r="G3510" i="1"/>
  <c r="A3510" i="1"/>
  <c r="B3510" i="1"/>
  <c r="H3510" i="1"/>
  <c r="I3510" i="1"/>
  <c r="D430" i="1"/>
  <c r="E430" i="1"/>
  <c r="F430" i="1"/>
  <c r="G430" i="1"/>
  <c r="A430" i="1"/>
  <c r="B430" i="1"/>
  <c r="H430" i="1"/>
  <c r="I430" i="1"/>
  <c r="D322" i="1"/>
  <c r="E322" i="1"/>
  <c r="F322" i="1"/>
  <c r="G322" i="1"/>
  <c r="A322" i="1"/>
  <c r="B322" i="1"/>
  <c r="H322" i="1"/>
  <c r="I322" i="1"/>
  <c r="D432" i="1"/>
  <c r="E432" i="1"/>
  <c r="F432" i="1"/>
  <c r="G432" i="1"/>
  <c r="A432" i="1"/>
  <c r="B432" i="1"/>
  <c r="H432" i="1"/>
  <c r="I432" i="1"/>
  <c r="D3036" i="1"/>
  <c r="E3036" i="1"/>
  <c r="F3036" i="1"/>
  <c r="G3036" i="1"/>
  <c r="A3036" i="1"/>
  <c r="B3036" i="1"/>
  <c r="H3036" i="1"/>
  <c r="I3036" i="1"/>
  <c r="D3378" i="1"/>
  <c r="E3378" i="1"/>
  <c r="F3378" i="1"/>
  <c r="G3378" i="1"/>
  <c r="A3378" i="1"/>
  <c r="B3378" i="1"/>
  <c r="H3378" i="1"/>
  <c r="I3378" i="1"/>
  <c r="D74" i="1"/>
  <c r="E74" i="1"/>
  <c r="F74" i="1"/>
  <c r="G74" i="1"/>
  <c r="A74" i="1"/>
  <c r="B74" i="1"/>
  <c r="H74" i="1"/>
  <c r="I74" i="1"/>
  <c r="D441" i="1"/>
  <c r="E441" i="1"/>
  <c r="F441" i="1"/>
  <c r="G441" i="1"/>
  <c r="A441" i="1"/>
  <c r="B441" i="1"/>
  <c r="H441" i="1"/>
  <c r="I441" i="1"/>
  <c r="D71" i="1"/>
  <c r="E71" i="1"/>
  <c r="F71" i="1"/>
  <c r="G71" i="1"/>
  <c r="A71" i="1"/>
  <c r="B71" i="1"/>
  <c r="H71" i="1"/>
  <c r="I71" i="1"/>
  <c r="D61" i="1"/>
  <c r="E61" i="1"/>
  <c r="F61" i="1"/>
  <c r="G61" i="1"/>
  <c r="A61" i="1"/>
  <c r="B61" i="1"/>
  <c r="H61" i="1"/>
  <c r="I61" i="1"/>
  <c r="D64" i="1"/>
  <c r="E64" i="1"/>
  <c r="F64" i="1"/>
  <c r="G64" i="1"/>
  <c r="A64" i="1"/>
  <c r="B64" i="1"/>
  <c r="H64" i="1"/>
  <c r="I64" i="1"/>
  <c r="D3022" i="1"/>
  <c r="E3022" i="1"/>
  <c r="F3022" i="1"/>
  <c r="G3022" i="1"/>
  <c r="A3022" i="1"/>
  <c r="B3022" i="1"/>
  <c r="H3022" i="1"/>
  <c r="I3022" i="1"/>
  <c r="D65" i="1"/>
  <c r="E65" i="1"/>
  <c r="F65" i="1"/>
  <c r="G65" i="1"/>
  <c r="A65" i="1"/>
  <c r="B65" i="1"/>
  <c r="H65" i="1"/>
  <c r="I65" i="1"/>
  <c r="D3151" i="1"/>
  <c r="E3151" i="1"/>
  <c r="F3151" i="1"/>
  <c r="G3151" i="1"/>
  <c r="A3151" i="1"/>
  <c r="B3151" i="1"/>
  <c r="H3151" i="1"/>
  <c r="I3151" i="1"/>
  <c r="D76" i="1"/>
  <c r="E76" i="1"/>
  <c r="F76" i="1"/>
  <c r="G76" i="1"/>
  <c r="A76" i="1"/>
  <c r="B76" i="1"/>
  <c r="H76" i="1"/>
  <c r="I76" i="1"/>
  <c r="D2227" i="1"/>
  <c r="E2227" i="1"/>
  <c r="F2227" i="1"/>
  <c r="G2227" i="1"/>
  <c r="A2227" i="1"/>
  <c r="B2227" i="1"/>
  <c r="H2227" i="1"/>
  <c r="I2227" i="1"/>
  <c r="D63" i="1"/>
  <c r="E63" i="1"/>
  <c r="F63" i="1"/>
  <c r="G63" i="1"/>
  <c r="A63" i="1"/>
  <c r="B63" i="1"/>
  <c r="H63" i="1"/>
  <c r="I63" i="1"/>
  <c r="D68" i="1"/>
  <c r="E68" i="1"/>
  <c r="F68" i="1"/>
  <c r="G68" i="1"/>
  <c r="A68" i="1"/>
  <c r="B68" i="1"/>
  <c r="H68" i="1"/>
  <c r="I68" i="1"/>
  <c r="D69" i="1"/>
  <c r="E69" i="1"/>
  <c r="F69" i="1"/>
  <c r="G69" i="1"/>
  <c r="A69" i="1"/>
  <c r="B69" i="1"/>
  <c r="H69" i="1"/>
  <c r="I69" i="1"/>
  <c r="D443" i="1"/>
  <c r="E443" i="1"/>
  <c r="F443" i="1"/>
  <c r="G443" i="1"/>
  <c r="A443" i="1"/>
  <c r="B443" i="1"/>
  <c r="H443" i="1"/>
  <c r="I443" i="1"/>
  <c r="D3035" i="1"/>
  <c r="E3035" i="1"/>
  <c r="F3035" i="1"/>
  <c r="G3035" i="1"/>
  <c r="A3035" i="1"/>
  <c r="B3035" i="1"/>
  <c r="H3035" i="1"/>
  <c r="I3035" i="1"/>
  <c r="D58" i="1"/>
  <c r="E58" i="1"/>
  <c r="F58" i="1"/>
  <c r="G58" i="1"/>
  <c r="A58" i="1"/>
  <c r="B58" i="1"/>
  <c r="H58" i="1"/>
  <c r="I58" i="1"/>
  <c r="D436" i="1"/>
  <c r="E436" i="1"/>
  <c r="F436" i="1"/>
  <c r="G436" i="1"/>
  <c r="A436" i="1"/>
  <c r="B436" i="1"/>
  <c r="H436" i="1"/>
  <c r="I436" i="1"/>
  <c r="D3034" i="1"/>
  <c r="E3034" i="1"/>
  <c r="F3034" i="1"/>
  <c r="G3034" i="1"/>
  <c r="A3034" i="1"/>
  <c r="B3034" i="1"/>
  <c r="H3034" i="1"/>
  <c r="I3034" i="1"/>
  <c r="D440" i="1"/>
  <c r="E440" i="1"/>
  <c r="F440" i="1"/>
  <c r="G440" i="1"/>
  <c r="A440" i="1"/>
  <c r="B440" i="1"/>
  <c r="H440" i="1"/>
  <c r="I440" i="1"/>
  <c r="D3381" i="1"/>
  <c r="E3381" i="1"/>
  <c r="F3381" i="1"/>
  <c r="G3381" i="1"/>
  <c r="A3381" i="1"/>
  <c r="B3381" i="1"/>
  <c r="H3381" i="1"/>
  <c r="I3381" i="1"/>
  <c r="D72" i="1"/>
  <c r="E72" i="1"/>
  <c r="F72" i="1"/>
  <c r="G72" i="1"/>
  <c r="A72" i="1"/>
  <c r="B72" i="1"/>
  <c r="H72" i="1"/>
  <c r="I72" i="1"/>
  <c r="D77" i="1"/>
  <c r="E77" i="1"/>
  <c r="F77" i="1"/>
  <c r="G77" i="1"/>
  <c r="A77" i="1"/>
  <c r="B77" i="1"/>
  <c r="H77" i="1"/>
  <c r="I77" i="1"/>
  <c r="D3380" i="1"/>
  <c r="E3380" i="1"/>
  <c r="F3380" i="1"/>
  <c r="G3380" i="1"/>
  <c r="A3380" i="1"/>
  <c r="B3380" i="1"/>
  <c r="H3380" i="1"/>
  <c r="I3380" i="1"/>
  <c r="D323" i="1"/>
  <c r="E323" i="1"/>
  <c r="F323" i="1"/>
  <c r="G323" i="1"/>
  <c r="A323" i="1"/>
  <c r="B323" i="1"/>
  <c r="H323" i="1"/>
  <c r="I323" i="1"/>
  <c r="D113" i="1"/>
  <c r="E113" i="1"/>
  <c r="F113" i="1"/>
  <c r="G113" i="1"/>
  <c r="A113" i="1"/>
  <c r="B113" i="1"/>
  <c r="H113" i="1"/>
  <c r="I113" i="1"/>
  <c r="D294" i="1"/>
  <c r="E294" i="1"/>
  <c r="F294" i="1"/>
  <c r="G294" i="1"/>
  <c r="A294" i="1"/>
  <c r="B294" i="1"/>
  <c r="H294" i="1"/>
  <c r="I294" i="1"/>
  <c r="D3552" i="1"/>
  <c r="E3552" i="1"/>
  <c r="F3552" i="1"/>
  <c r="G3552" i="1"/>
  <c r="A3552" i="1"/>
  <c r="B3552" i="1"/>
  <c r="H3552" i="1"/>
  <c r="I3552" i="1"/>
  <c r="D115" i="1"/>
  <c r="E115" i="1"/>
  <c r="F115" i="1"/>
  <c r="G115" i="1"/>
  <c r="A115" i="1"/>
  <c r="B115" i="1"/>
  <c r="H115" i="1"/>
  <c r="I115" i="1"/>
  <c r="D116" i="1"/>
  <c r="E116" i="1"/>
  <c r="F116" i="1"/>
  <c r="G116" i="1"/>
  <c r="A116" i="1"/>
  <c r="B116" i="1"/>
  <c r="H116" i="1"/>
  <c r="I116" i="1"/>
  <c r="D3139" i="1"/>
  <c r="E3139" i="1"/>
  <c r="F3139" i="1"/>
  <c r="G3139" i="1"/>
  <c r="A3139" i="1"/>
  <c r="B3139" i="1"/>
  <c r="H3139" i="1"/>
  <c r="I3139" i="1"/>
  <c r="D112" i="1"/>
  <c r="E112" i="1"/>
  <c r="F112" i="1"/>
  <c r="G112" i="1"/>
  <c r="A112" i="1"/>
  <c r="B112" i="1"/>
  <c r="H112" i="1"/>
  <c r="I112" i="1"/>
  <c r="D107" i="1"/>
  <c r="E107" i="1"/>
  <c r="F107" i="1"/>
  <c r="G107" i="1"/>
  <c r="A107" i="1"/>
  <c r="B107" i="1"/>
  <c r="H107" i="1"/>
  <c r="I107" i="1"/>
  <c r="D106" i="1"/>
  <c r="E106" i="1"/>
  <c r="F106" i="1"/>
  <c r="G106" i="1"/>
  <c r="A106" i="1"/>
  <c r="B106" i="1"/>
  <c r="H106" i="1"/>
  <c r="I106" i="1"/>
  <c r="D3149" i="1"/>
  <c r="E3149" i="1"/>
  <c r="F3149" i="1"/>
  <c r="G3149" i="1"/>
  <c r="A3149" i="1"/>
  <c r="B3149" i="1"/>
  <c r="H3149" i="1"/>
  <c r="I3149" i="1"/>
  <c r="D108" i="1"/>
  <c r="E108" i="1"/>
  <c r="F108" i="1"/>
  <c r="G108" i="1"/>
  <c r="A108" i="1"/>
  <c r="B108" i="1"/>
  <c r="H108" i="1"/>
  <c r="I108" i="1"/>
  <c r="D109" i="1"/>
  <c r="E109" i="1"/>
  <c r="F109" i="1"/>
  <c r="G109" i="1"/>
  <c r="A109" i="1"/>
  <c r="B109" i="1"/>
  <c r="H109" i="1"/>
  <c r="I109" i="1"/>
  <c r="D111" i="1"/>
  <c r="E111" i="1"/>
  <c r="F111" i="1"/>
  <c r="G111" i="1"/>
  <c r="A111" i="1"/>
  <c r="B111" i="1"/>
  <c r="H111" i="1"/>
  <c r="I111" i="1"/>
  <c r="D3140" i="1"/>
  <c r="E3140" i="1"/>
  <c r="F3140" i="1"/>
  <c r="G3140" i="1"/>
  <c r="A3140" i="1"/>
  <c r="B3140" i="1"/>
  <c r="H3140" i="1"/>
  <c r="I3140" i="1"/>
  <c r="D738" i="1"/>
  <c r="E738" i="1"/>
  <c r="F738" i="1"/>
  <c r="G738" i="1"/>
  <c r="A738" i="1"/>
  <c r="B738" i="1"/>
  <c r="H738" i="1"/>
  <c r="I738" i="1"/>
  <c r="D3553" i="1"/>
  <c r="E3553" i="1"/>
  <c r="F3553" i="1"/>
  <c r="G3553" i="1"/>
  <c r="A3553" i="1"/>
  <c r="B3553" i="1"/>
  <c r="H3553" i="1"/>
  <c r="I3553" i="1"/>
  <c r="D110" i="1"/>
  <c r="E110" i="1"/>
  <c r="F110" i="1"/>
  <c r="G110" i="1"/>
  <c r="A110" i="1"/>
  <c r="B110" i="1"/>
  <c r="H110" i="1"/>
  <c r="I110" i="1"/>
  <c r="D114" i="1"/>
  <c r="E114" i="1"/>
  <c r="F114" i="1"/>
  <c r="G114" i="1"/>
  <c r="A114" i="1"/>
  <c r="B114" i="1"/>
  <c r="H114" i="1"/>
  <c r="I114" i="1"/>
  <c r="D3138" i="1"/>
  <c r="E3138" i="1"/>
  <c r="F3138" i="1"/>
  <c r="G3138" i="1"/>
  <c r="A3138" i="1"/>
  <c r="B3138" i="1"/>
  <c r="H3138" i="1"/>
  <c r="I3138" i="1"/>
  <c r="D1287" i="1"/>
  <c r="E1287" i="1"/>
  <c r="F1287" i="1"/>
  <c r="G1287" i="1"/>
  <c r="A1287" i="1"/>
  <c r="B1287" i="1"/>
  <c r="H1287" i="1"/>
  <c r="I1287" i="1"/>
  <c r="D2641" i="1"/>
  <c r="E2641" i="1"/>
  <c r="F2641" i="1"/>
  <c r="G2641" i="1"/>
  <c r="A2641" i="1"/>
  <c r="B2641" i="1"/>
  <c r="H2641" i="1"/>
  <c r="I2641" i="1"/>
  <c r="D3099" i="1"/>
  <c r="E3099" i="1"/>
  <c r="F3099" i="1"/>
  <c r="G3099" i="1"/>
  <c r="A3099" i="1"/>
  <c r="B3099" i="1"/>
  <c r="H3099" i="1"/>
  <c r="I3099" i="1"/>
  <c r="D3098" i="1"/>
  <c r="E3098" i="1"/>
  <c r="F3098" i="1"/>
  <c r="G3098" i="1"/>
  <c r="A3098" i="1"/>
  <c r="B3098" i="1"/>
  <c r="H3098" i="1"/>
  <c r="I3098" i="1"/>
  <c r="D3293" i="1"/>
  <c r="E3293" i="1"/>
  <c r="F3293" i="1"/>
  <c r="G3293" i="1"/>
  <c r="A3293" i="1"/>
  <c r="B3293" i="1"/>
  <c r="H3293" i="1"/>
  <c r="I3293" i="1"/>
  <c r="D2542" i="1"/>
  <c r="E2542" i="1"/>
  <c r="F2542" i="1"/>
  <c r="G2542" i="1"/>
  <c r="A2542" i="1"/>
  <c r="B2542" i="1"/>
  <c r="H2542" i="1"/>
  <c r="I2542" i="1"/>
  <c r="D3097" i="1"/>
  <c r="E3097" i="1"/>
  <c r="F3097" i="1"/>
  <c r="G3097" i="1"/>
  <c r="A3097" i="1"/>
  <c r="B3097" i="1"/>
  <c r="H3097" i="1"/>
  <c r="I3097" i="1"/>
  <c r="D1286" i="1"/>
  <c r="E1286" i="1"/>
  <c r="F1286" i="1"/>
  <c r="G1286" i="1"/>
  <c r="A1286" i="1"/>
  <c r="B1286" i="1"/>
  <c r="H1286" i="1"/>
  <c r="I1286" i="1"/>
  <c r="D1288" i="1"/>
  <c r="E1288" i="1"/>
  <c r="F1288" i="1"/>
  <c r="G1288" i="1"/>
  <c r="A1288" i="1"/>
  <c r="B1288" i="1"/>
  <c r="H1288" i="1"/>
  <c r="I1288" i="1"/>
  <c r="D371" i="1"/>
  <c r="E371" i="1"/>
  <c r="F371" i="1"/>
  <c r="G371" i="1"/>
  <c r="A371" i="1"/>
  <c r="B371" i="1"/>
  <c r="H371" i="1"/>
  <c r="I371" i="1"/>
  <c r="D2527" i="1"/>
  <c r="E2527" i="1"/>
  <c r="F2527" i="1"/>
  <c r="G2527" i="1"/>
  <c r="A2527" i="1"/>
  <c r="B2527" i="1"/>
  <c r="H2527" i="1"/>
  <c r="I2527" i="1"/>
  <c r="D3237" i="1"/>
  <c r="E3237" i="1"/>
  <c r="F3237" i="1"/>
  <c r="G3237" i="1"/>
  <c r="A3237" i="1"/>
  <c r="B3237" i="1"/>
  <c r="H3237" i="1"/>
  <c r="I3237" i="1"/>
  <c r="D377" i="1"/>
  <c r="E377" i="1"/>
  <c r="F377" i="1"/>
  <c r="G377" i="1"/>
  <c r="A377" i="1"/>
  <c r="B377" i="1"/>
  <c r="H377" i="1"/>
  <c r="I377" i="1"/>
  <c r="D375" i="1"/>
  <c r="E375" i="1"/>
  <c r="F375" i="1"/>
  <c r="G375" i="1"/>
  <c r="A375" i="1"/>
  <c r="B375" i="1"/>
  <c r="H375" i="1"/>
  <c r="I375" i="1"/>
  <c r="D3236" i="1"/>
  <c r="E3236" i="1"/>
  <c r="F3236" i="1"/>
  <c r="G3236" i="1"/>
  <c r="A3236" i="1"/>
  <c r="B3236" i="1"/>
  <c r="H3236" i="1"/>
  <c r="I3236" i="1"/>
  <c r="D1740" i="1"/>
  <c r="E1740" i="1"/>
  <c r="F1740" i="1"/>
  <c r="G1740" i="1"/>
  <c r="A1740" i="1"/>
  <c r="B1740" i="1"/>
  <c r="H1740" i="1"/>
  <c r="I1740" i="1"/>
  <c r="D2631" i="1"/>
  <c r="E2631" i="1"/>
  <c r="F2631" i="1"/>
  <c r="G2631" i="1"/>
  <c r="A2631" i="1"/>
  <c r="B2631" i="1"/>
  <c r="H2631" i="1"/>
  <c r="I2631" i="1"/>
  <c r="D1752" i="1"/>
  <c r="E1752" i="1"/>
  <c r="F1752" i="1"/>
  <c r="G1752" i="1"/>
  <c r="A1752" i="1"/>
  <c r="B1752" i="1"/>
  <c r="H1752" i="1"/>
  <c r="I1752" i="1"/>
  <c r="D1221" i="1"/>
  <c r="E1221" i="1"/>
  <c r="F1221" i="1"/>
  <c r="G1221" i="1"/>
  <c r="A1221" i="1"/>
  <c r="B1221" i="1"/>
  <c r="H1221" i="1"/>
  <c r="I1221" i="1"/>
  <c r="D1745" i="1"/>
  <c r="E1745" i="1"/>
  <c r="F1745" i="1"/>
  <c r="G1745" i="1"/>
  <c r="A1745" i="1"/>
  <c r="B1745" i="1"/>
  <c r="H1745" i="1"/>
  <c r="I1745" i="1"/>
  <c r="D1735" i="1"/>
  <c r="E1735" i="1"/>
  <c r="F1735" i="1"/>
  <c r="G1735" i="1"/>
  <c r="A1735" i="1"/>
  <c r="B1735" i="1"/>
  <c r="H1735" i="1"/>
  <c r="I1735" i="1"/>
  <c r="D1754" i="1"/>
  <c r="E1754" i="1"/>
  <c r="F1754" i="1"/>
  <c r="G1754" i="1"/>
  <c r="A1754" i="1"/>
  <c r="B1754" i="1"/>
  <c r="H1754" i="1"/>
  <c r="I1754" i="1"/>
  <c r="D2528" i="1"/>
  <c r="E2528" i="1"/>
  <c r="F2528" i="1"/>
  <c r="G2528" i="1"/>
  <c r="A2528" i="1"/>
  <c r="B2528" i="1"/>
  <c r="H2528" i="1"/>
  <c r="I2528" i="1"/>
  <c r="D1219" i="1"/>
  <c r="E1219" i="1"/>
  <c r="F1219" i="1"/>
  <c r="G1219" i="1"/>
  <c r="A1219" i="1"/>
  <c r="B1219" i="1"/>
  <c r="H1219" i="1"/>
  <c r="I1219" i="1"/>
  <c r="D1218" i="1"/>
  <c r="E1218" i="1"/>
  <c r="F1218" i="1"/>
  <c r="G1218" i="1"/>
  <c r="A1218" i="1"/>
  <c r="B1218" i="1"/>
  <c r="H1218" i="1"/>
  <c r="I1218" i="1"/>
  <c r="D1739" i="1"/>
  <c r="E1739" i="1"/>
  <c r="F1739" i="1"/>
  <c r="G1739" i="1"/>
  <c r="A1739" i="1"/>
  <c r="B1739" i="1"/>
  <c r="H1739" i="1"/>
  <c r="I1739" i="1"/>
  <c r="D2540" i="1"/>
  <c r="E2540" i="1"/>
  <c r="F2540" i="1"/>
  <c r="G2540" i="1"/>
  <c r="A2540" i="1"/>
  <c r="B2540" i="1"/>
  <c r="H2540" i="1"/>
  <c r="I2540" i="1"/>
  <c r="D1220" i="1"/>
  <c r="E1220" i="1"/>
  <c r="F1220" i="1"/>
  <c r="G1220" i="1"/>
  <c r="A1220" i="1"/>
  <c r="B1220" i="1"/>
  <c r="H1220" i="1"/>
  <c r="I1220" i="1"/>
  <c r="D2735" i="1"/>
  <c r="E2735" i="1"/>
  <c r="F2735" i="1"/>
  <c r="G2735" i="1"/>
  <c r="A2735" i="1"/>
  <c r="B2735" i="1"/>
  <c r="H2735" i="1"/>
  <c r="I2735" i="1"/>
  <c r="D2629" i="1"/>
  <c r="E2629" i="1"/>
  <c r="F2629" i="1"/>
  <c r="G2629" i="1"/>
  <c r="A2629" i="1"/>
  <c r="B2629" i="1"/>
  <c r="H2629" i="1"/>
  <c r="I2629" i="1"/>
  <c r="D1748" i="1"/>
  <c r="E1748" i="1"/>
  <c r="F1748" i="1"/>
  <c r="G1748" i="1"/>
  <c r="A1748" i="1"/>
  <c r="B1748" i="1"/>
  <c r="H1748" i="1"/>
  <c r="I1748" i="1"/>
  <c r="D1750" i="1"/>
  <c r="E1750" i="1"/>
  <c r="F1750" i="1"/>
  <c r="G1750" i="1"/>
  <c r="A1750" i="1"/>
  <c r="B1750" i="1"/>
  <c r="H1750" i="1"/>
  <c r="I1750" i="1"/>
  <c r="D1744" i="1"/>
  <c r="E1744" i="1"/>
  <c r="F1744" i="1"/>
  <c r="G1744" i="1"/>
  <c r="A1744" i="1"/>
  <c r="B1744" i="1"/>
  <c r="H1744" i="1"/>
  <c r="I1744" i="1"/>
  <c r="D3511" i="1"/>
  <c r="E3511" i="1"/>
  <c r="F3511" i="1"/>
  <c r="G3511" i="1"/>
  <c r="A3511" i="1"/>
  <c r="B3511" i="1"/>
  <c r="H3511" i="1"/>
  <c r="I3511" i="1"/>
  <c r="D1743" i="1"/>
  <c r="E1743" i="1"/>
  <c r="F1743" i="1"/>
  <c r="G1743" i="1"/>
  <c r="A1743" i="1"/>
  <c r="B1743" i="1"/>
  <c r="H1743" i="1"/>
  <c r="I1743" i="1"/>
  <c r="D1738" i="1"/>
  <c r="E1738" i="1"/>
  <c r="F1738" i="1"/>
  <c r="G1738" i="1"/>
  <c r="A1738" i="1"/>
  <c r="B1738" i="1"/>
  <c r="H1738" i="1"/>
  <c r="I1738" i="1"/>
  <c r="D3102" i="1"/>
  <c r="E3102" i="1"/>
  <c r="F3102" i="1"/>
  <c r="G3102" i="1"/>
  <c r="A3102" i="1"/>
  <c r="B3102" i="1"/>
  <c r="H3102" i="1"/>
  <c r="I3102" i="1"/>
  <c r="D1753" i="1"/>
  <c r="E1753" i="1"/>
  <c r="F1753" i="1"/>
  <c r="G1753" i="1"/>
  <c r="A1753" i="1"/>
  <c r="B1753" i="1"/>
  <c r="H1753" i="1"/>
  <c r="I1753" i="1"/>
  <c r="D2736" i="1"/>
  <c r="E2736" i="1"/>
  <c r="F2736" i="1"/>
  <c r="G2736" i="1"/>
  <c r="A2736" i="1"/>
  <c r="B2736" i="1"/>
  <c r="H2736" i="1"/>
  <c r="I2736" i="1"/>
  <c r="D370" i="1"/>
  <c r="E370" i="1"/>
  <c r="F370" i="1"/>
  <c r="G370" i="1"/>
  <c r="A370" i="1"/>
  <c r="B370" i="1"/>
  <c r="H370" i="1"/>
  <c r="I370" i="1"/>
  <c r="D374" i="1"/>
  <c r="E374" i="1"/>
  <c r="F374" i="1"/>
  <c r="G374" i="1"/>
  <c r="A374" i="1"/>
  <c r="B374" i="1"/>
  <c r="H374" i="1"/>
  <c r="I374" i="1"/>
  <c r="D117" i="1"/>
  <c r="E117" i="1"/>
  <c r="F117" i="1"/>
  <c r="G117" i="1"/>
  <c r="A117" i="1"/>
  <c r="B117" i="1"/>
  <c r="H117" i="1"/>
  <c r="I117" i="1"/>
  <c r="D379" i="1"/>
  <c r="E379" i="1"/>
  <c r="F379" i="1"/>
  <c r="G379" i="1"/>
  <c r="A379" i="1"/>
  <c r="B379" i="1"/>
  <c r="H379" i="1"/>
  <c r="I379" i="1"/>
  <c r="D2539" i="1"/>
  <c r="E2539" i="1"/>
  <c r="F2539" i="1"/>
  <c r="G2539" i="1"/>
  <c r="A2539" i="1"/>
  <c r="B2539" i="1"/>
  <c r="H2539" i="1"/>
  <c r="I2539" i="1"/>
  <c r="D1747" i="1"/>
  <c r="E1747" i="1"/>
  <c r="F1747" i="1"/>
  <c r="G1747" i="1"/>
  <c r="A1747" i="1"/>
  <c r="B1747" i="1"/>
  <c r="H1747" i="1"/>
  <c r="I1747" i="1"/>
  <c r="D381" i="1"/>
  <c r="E381" i="1"/>
  <c r="F381" i="1"/>
  <c r="G381" i="1"/>
  <c r="A381" i="1"/>
  <c r="B381" i="1"/>
  <c r="H381" i="1"/>
  <c r="I381" i="1"/>
  <c r="D1736" i="1"/>
  <c r="E1736" i="1"/>
  <c r="F1736" i="1"/>
  <c r="G1736" i="1"/>
  <c r="A1736" i="1"/>
  <c r="B1736" i="1"/>
  <c r="H1736" i="1"/>
  <c r="I1736" i="1"/>
  <c r="D372" i="1"/>
  <c r="E372" i="1"/>
  <c r="F372" i="1"/>
  <c r="G372" i="1"/>
  <c r="A372" i="1"/>
  <c r="B372" i="1"/>
  <c r="H372" i="1"/>
  <c r="I372" i="1"/>
  <c r="D3239" i="1"/>
  <c r="E3239" i="1"/>
  <c r="F3239" i="1"/>
  <c r="G3239" i="1"/>
  <c r="A3239" i="1"/>
  <c r="B3239" i="1"/>
  <c r="H3239" i="1"/>
  <c r="I3239" i="1"/>
  <c r="D1741" i="1"/>
  <c r="E1741" i="1"/>
  <c r="F1741" i="1"/>
  <c r="G1741" i="1"/>
  <c r="A1741" i="1"/>
  <c r="B1741" i="1"/>
  <c r="H1741" i="1"/>
  <c r="I1741" i="1"/>
  <c r="D2632" i="1"/>
  <c r="E2632" i="1"/>
  <c r="F2632" i="1"/>
  <c r="G2632" i="1"/>
  <c r="A2632" i="1"/>
  <c r="B2632" i="1"/>
  <c r="H2632" i="1"/>
  <c r="I2632" i="1"/>
  <c r="D3238" i="1"/>
  <c r="E3238" i="1"/>
  <c r="F3238" i="1"/>
  <c r="G3238" i="1"/>
  <c r="A3238" i="1"/>
  <c r="B3238" i="1"/>
  <c r="H3238" i="1"/>
  <c r="I3238" i="1"/>
  <c r="D2630" i="1"/>
  <c r="E2630" i="1"/>
  <c r="F2630" i="1"/>
  <c r="G2630" i="1"/>
  <c r="A2630" i="1"/>
  <c r="B2630" i="1"/>
  <c r="H2630" i="1"/>
  <c r="I2630" i="1"/>
  <c r="D1749" i="1"/>
  <c r="E1749" i="1"/>
  <c r="F1749" i="1"/>
  <c r="G1749" i="1"/>
  <c r="A1749" i="1"/>
  <c r="B1749" i="1"/>
  <c r="H1749" i="1"/>
  <c r="I1749" i="1"/>
  <c r="D1751" i="1"/>
  <c r="E1751" i="1"/>
  <c r="F1751" i="1"/>
  <c r="G1751" i="1"/>
  <c r="A1751" i="1"/>
  <c r="B1751" i="1"/>
  <c r="H1751" i="1"/>
  <c r="I1751" i="1"/>
  <c r="D2633" i="1"/>
  <c r="E2633" i="1"/>
  <c r="F2633" i="1"/>
  <c r="G2633" i="1"/>
  <c r="A2633" i="1"/>
  <c r="B2633" i="1"/>
  <c r="H2633" i="1"/>
  <c r="I2633" i="1"/>
  <c r="D2817" i="1"/>
  <c r="E2817" i="1"/>
  <c r="F2817" i="1"/>
  <c r="G2817" i="1"/>
  <c r="A2817" i="1"/>
  <c r="B2817" i="1"/>
  <c r="H2817" i="1"/>
  <c r="I2817" i="1"/>
  <c r="D378" i="1"/>
  <c r="E378" i="1"/>
  <c r="F378" i="1"/>
  <c r="G378" i="1"/>
  <c r="A378" i="1"/>
  <c r="B378" i="1"/>
  <c r="H378" i="1"/>
  <c r="I378" i="1"/>
  <c r="D1737" i="1"/>
  <c r="E1737" i="1"/>
  <c r="F1737" i="1"/>
  <c r="G1737" i="1"/>
  <c r="A1737" i="1"/>
  <c r="B1737" i="1"/>
  <c r="H1737" i="1"/>
  <c r="I1737" i="1"/>
  <c r="D373" i="1"/>
  <c r="E373" i="1"/>
  <c r="F373" i="1"/>
  <c r="G373" i="1"/>
  <c r="A373" i="1"/>
  <c r="B373" i="1"/>
  <c r="H373" i="1"/>
  <c r="I373" i="1"/>
  <c r="D1746" i="1"/>
  <c r="E1746" i="1"/>
  <c r="F1746" i="1"/>
  <c r="G1746" i="1"/>
  <c r="A1746" i="1"/>
  <c r="B1746" i="1"/>
  <c r="H1746" i="1"/>
  <c r="I1746" i="1"/>
  <c r="D376" i="1"/>
  <c r="E376" i="1"/>
  <c r="F376" i="1"/>
  <c r="G376" i="1"/>
  <c r="A376" i="1"/>
  <c r="B376" i="1"/>
  <c r="H376" i="1"/>
  <c r="I376" i="1"/>
  <c r="D380" i="1"/>
  <c r="E380" i="1"/>
  <c r="F380" i="1"/>
  <c r="G380" i="1"/>
  <c r="A380" i="1"/>
  <c r="B380" i="1"/>
  <c r="H380" i="1"/>
  <c r="I380" i="1"/>
  <c r="D1742" i="1"/>
  <c r="E1742" i="1"/>
  <c r="F1742" i="1"/>
  <c r="G1742" i="1"/>
  <c r="A1742" i="1"/>
  <c r="B1742" i="1"/>
  <c r="H1742" i="1"/>
  <c r="I1742" i="1"/>
  <c r="D1908" i="1"/>
  <c r="E1908" i="1"/>
  <c r="F1908" i="1"/>
  <c r="G1908" i="1"/>
  <c r="A1908" i="1"/>
  <c r="B1908" i="1"/>
  <c r="H1908" i="1"/>
  <c r="I1908" i="1"/>
  <c r="D1906" i="1"/>
  <c r="E1906" i="1"/>
  <c r="F1906" i="1"/>
  <c r="G1906" i="1"/>
  <c r="A1906" i="1"/>
  <c r="B1906" i="1"/>
  <c r="H1906" i="1"/>
  <c r="I1906" i="1"/>
  <c r="D193" i="1"/>
  <c r="E193" i="1"/>
  <c r="F193" i="1"/>
  <c r="G193" i="1"/>
  <c r="A193" i="1"/>
  <c r="B193" i="1"/>
  <c r="H193" i="1"/>
  <c r="I193" i="1"/>
  <c r="D1909" i="1"/>
  <c r="E1909" i="1"/>
  <c r="F1909" i="1"/>
  <c r="G1909" i="1"/>
  <c r="A1909" i="1"/>
  <c r="B1909" i="1"/>
  <c r="H1909" i="1"/>
  <c r="I1909" i="1"/>
  <c r="D1905" i="1"/>
  <c r="E1905" i="1"/>
  <c r="F1905" i="1"/>
  <c r="G1905" i="1"/>
  <c r="A1905" i="1"/>
  <c r="B1905" i="1"/>
  <c r="H1905" i="1"/>
  <c r="I1905" i="1"/>
  <c r="D1907" i="1"/>
  <c r="E1907" i="1"/>
  <c r="F1907" i="1"/>
  <c r="G1907" i="1"/>
  <c r="A1907" i="1"/>
  <c r="B1907" i="1"/>
  <c r="H1907" i="1"/>
  <c r="I1907" i="1"/>
  <c r="D552" i="1"/>
  <c r="E552" i="1"/>
  <c r="F552" i="1"/>
  <c r="G552" i="1"/>
  <c r="A552" i="1"/>
  <c r="B552" i="1"/>
  <c r="H552" i="1"/>
  <c r="I552" i="1"/>
  <c r="D2785" i="1"/>
  <c r="E2785" i="1"/>
  <c r="F2785" i="1"/>
  <c r="G2785" i="1"/>
  <c r="A2785" i="1"/>
  <c r="B2785" i="1"/>
  <c r="H2785" i="1"/>
  <c r="I2785" i="1"/>
  <c r="D1988" i="1"/>
  <c r="E1988" i="1"/>
  <c r="F1988" i="1"/>
  <c r="G1988" i="1"/>
  <c r="A1988" i="1"/>
  <c r="B1988" i="1"/>
  <c r="H1988" i="1"/>
  <c r="I1988" i="1"/>
  <c r="D706" i="1"/>
  <c r="E706" i="1"/>
  <c r="F706" i="1"/>
  <c r="G706" i="1"/>
  <c r="A706" i="1"/>
  <c r="B706" i="1"/>
  <c r="H706" i="1"/>
  <c r="I706" i="1"/>
  <c r="D2784" i="1"/>
  <c r="E2784" i="1"/>
  <c r="F2784" i="1"/>
  <c r="G2784" i="1"/>
  <c r="A2784" i="1"/>
  <c r="B2784" i="1"/>
  <c r="H2784" i="1"/>
  <c r="I2784" i="1"/>
  <c r="D1987" i="1"/>
  <c r="E1987" i="1"/>
  <c r="F1987" i="1"/>
  <c r="G1987" i="1"/>
  <c r="A1987" i="1"/>
  <c r="B1987" i="1"/>
  <c r="H1987" i="1"/>
  <c r="I1987" i="1"/>
  <c r="D705" i="1"/>
  <c r="E705" i="1"/>
  <c r="F705" i="1"/>
  <c r="G705" i="1"/>
  <c r="A705" i="1"/>
  <c r="B705" i="1"/>
  <c r="H705" i="1"/>
  <c r="I705" i="1"/>
  <c r="D553" i="1"/>
  <c r="E553" i="1"/>
  <c r="F553" i="1"/>
  <c r="G553" i="1"/>
  <c r="A553" i="1"/>
  <c r="B553" i="1"/>
  <c r="H553" i="1"/>
  <c r="I553" i="1"/>
  <c r="D1337" i="1"/>
  <c r="E1337" i="1"/>
  <c r="F1337" i="1"/>
  <c r="G1337" i="1"/>
  <c r="A1337" i="1"/>
  <c r="B1337" i="1"/>
  <c r="H1337" i="1"/>
  <c r="I1337" i="1"/>
  <c r="D1985" i="1"/>
  <c r="E1985" i="1"/>
  <c r="F1985" i="1"/>
  <c r="G1985" i="1"/>
  <c r="A1985" i="1"/>
  <c r="B1985" i="1"/>
  <c r="H1985" i="1"/>
  <c r="I1985" i="1"/>
  <c r="D1989" i="1"/>
  <c r="E1989" i="1"/>
  <c r="F1989" i="1"/>
  <c r="G1989" i="1"/>
  <c r="A1989" i="1"/>
  <c r="B1989" i="1"/>
  <c r="H1989" i="1"/>
  <c r="I1989" i="1"/>
  <c r="D1983" i="1"/>
  <c r="E1983" i="1"/>
  <c r="F1983" i="1"/>
  <c r="G1983" i="1"/>
  <c r="A1983" i="1"/>
  <c r="B1983" i="1"/>
  <c r="H1983" i="1"/>
  <c r="I1983" i="1"/>
  <c r="D1986" i="1"/>
  <c r="E1986" i="1"/>
  <c r="F1986" i="1"/>
  <c r="G1986" i="1"/>
  <c r="A1986" i="1"/>
  <c r="B1986" i="1"/>
  <c r="H1986" i="1"/>
  <c r="I1986" i="1"/>
  <c r="D704" i="1"/>
  <c r="E704" i="1"/>
  <c r="F704" i="1"/>
  <c r="G704" i="1"/>
  <c r="A704" i="1"/>
  <c r="B704" i="1"/>
  <c r="H704" i="1"/>
  <c r="I704" i="1"/>
  <c r="D707" i="1"/>
  <c r="E707" i="1"/>
  <c r="F707" i="1"/>
  <c r="G707" i="1"/>
  <c r="A707" i="1"/>
  <c r="B707" i="1"/>
  <c r="H707" i="1"/>
  <c r="I707" i="1"/>
  <c r="D702" i="1"/>
  <c r="E702" i="1"/>
  <c r="F702" i="1"/>
  <c r="G702" i="1"/>
  <c r="A702" i="1"/>
  <c r="B702" i="1"/>
  <c r="H702" i="1"/>
  <c r="I702" i="1"/>
  <c r="D1982" i="1"/>
  <c r="E1982" i="1"/>
  <c r="F1982" i="1"/>
  <c r="G1982" i="1"/>
  <c r="A1982" i="1"/>
  <c r="B1982" i="1"/>
  <c r="H1982" i="1"/>
  <c r="I1982" i="1"/>
  <c r="D708" i="1"/>
  <c r="E708" i="1"/>
  <c r="F708" i="1"/>
  <c r="G708" i="1"/>
  <c r="A708" i="1"/>
  <c r="B708" i="1"/>
  <c r="H708" i="1"/>
  <c r="I708" i="1"/>
  <c r="D703" i="1"/>
  <c r="E703" i="1"/>
  <c r="F703" i="1"/>
  <c r="G703" i="1"/>
  <c r="A703" i="1"/>
  <c r="B703" i="1"/>
  <c r="H703" i="1"/>
  <c r="I703" i="1"/>
  <c r="D1984" i="1"/>
  <c r="E1984" i="1"/>
  <c r="F1984" i="1"/>
  <c r="G1984" i="1"/>
  <c r="A1984" i="1"/>
  <c r="B1984" i="1"/>
  <c r="H1984" i="1"/>
  <c r="I1984" i="1"/>
  <c r="D1990" i="1"/>
  <c r="E1990" i="1"/>
  <c r="F1990" i="1"/>
  <c r="G1990" i="1"/>
  <c r="A1990" i="1"/>
  <c r="B1990" i="1"/>
  <c r="H1990" i="1"/>
  <c r="I1990" i="1"/>
  <c r="D2037" i="1"/>
  <c r="E2037" i="1"/>
  <c r="F2037" i="1"/>
  <c r="G2037" i="1"/>
  <c r="A2037" i="1"/>
  <c r="B2037" i="1"/>
  <c r="H2037" i="1"/>
  <c r="I2037" i="1"/>
  <c r="D2036" i="1"/>
  <c r="E2036" i="1"/>
  <c r="F2036" i="1"/>
  <c r="G2036" i="1"/>
  <c r="A2036" i="1"/>
  <c r="B2036" i="1"/>
  <c r="H2036" i="1"/>
  <c r="I2036" i="1"/>
  <c r="D712" i="1"/>
  <c r="E712" i="1"/>
  <c r="F712" i="1"/>
  <c r="G712" i="1"/>
  <c r="A712" i="1"/>
  <c r="B712" i="1"/>
  <c r="H712" i="1"/>
  <c r="I712" i="1"/>
  <c r="D2040" i="1"/>
  <c r="E2040" i="1"/>
  <c r="F2040" i="1"/>
  <c r="G2040" i="1"/>
  <c r="A2040" i="1"/>
  <c r="B2040" i="1"/>
  <c r="H2040" i="1"/>
  <c r="I2040" i="1"/>
  <c r="D2884" i="1"/>
  <c r="E2884" i="1"/>
  <c r="F2884" i="1"/>
  <c r="G2884" i="1"/>
  <c r="A2884" i="1"/>
  <c r="B2884" i="1"/>
  <c r="H2884" i="1"/>
  <c r="I2884" i="1"/>
  <c r="D1089" i="1"/>
  <c r="E1089" i="1"/>
  <c r="F1089" i="1"/>
  <c r="G1089" i="1"/>
  <c r="A1089" i="1"/>
  <c r="B1089" i="1"/>
  <c r="H1089" i="1"/>
  <c r="I1089" i="1"/>
  <c r="D2038" i="1"/>
  <c r="E2038" i="1"/>
  <c r="F2038" i="1"/>
  <c r="G2038" i="1"/>
  <c r="A2038" i="1"/>
  <c r="B2038" i="1"/>
  <c r="H2038" i="1"/>
  <c r="I2038" i="1"/>
  <c r="D711" i="1"/>
  <c r="E711" i="1"/>
  <c r="F711" i="1"/>
  <c r="G711" i="1"/>
  <c r="A711" i="1"/>
  <c r="B711" i="1"/>
  <c r="H711" i="1"/>
  <c r="I711" i="1"/>
  <c r="D713" i="1"/>
  <c r="E713" i="1"/>
  <c r="F713" i="1"/>
  <c r="G713" i="1"/>
  <c r="A713" i="1"/>
  <c r="B713" i="1"/>
  <c r="H713" i="1"/>
  <c r="I713" i="1"/>
  <c r="D1731" i="1"/>
  <c r="E1731" i="1"/>
  <c r="F1731" i="1"/>
  <c r="G1731" i="1"/>
  <c r="A1731" i="1"/>
  <c r="B1731" i="1"/>
  <c r="H1731" i="1"/>
  <c r="I1731" i="1"/>
  <c r="D1733" i="1"/>
  <c r="E1733" i="1"/>
  <c r="F1733" i="1"/>
  <c r="G1733" i="1"/>
  <c r="A1733" i="1"/>
  <c r="B1733" i="1"/>
  <c r="H1733" i="1"/>
  <c r="I1733" i="1"/>
  <c r="D2031" i="1"/>
  <c r="E2031" i="1"/>
  <c r="F2031" i="1"/>
  <c r="G2031" i="1"/>
  <c r="A2031" i="1"/>
  <c r="B2031" i="1"/>
  <c r="H2031" i="1"/>
  <c r="I2031" i="1"/>
  <c r="D709" i="1"/>
  <c r="E709" i="1"/>
  <c r="F709" i="1"/>
  <c r="G709" i="1"/>
  <c r="A709" i="1"/>
  <c r="B709" i="1"/>
  <c r="H709" i="1"/>
  <c r="I709" i="1"/>
  <c r="D2883" i="1"/>
  <c r="E2883" i="1"/>
  <c r="F2883" i="1"/>
  <c r="G2883" i="1"/>
  <c r="A2883" i="1"/>
  <c r="B2883" i="1"/>
  <c r="H2883" i="1"/>
  <c r="I2883" i="1"/>
  <c r="D2799" i="1"/>
  <c r="E2799" i="1"/>
  <c r="F2799" i="1"/>
  <c r="G2799" i="1"/>
  <c r="A2799" i="1"/>
  <c r="B2799" i="1"/>
  <c r="H2799" i="1"/>
  <c r="I2799" i="1"/>
  <c r="D2039" i="1"/>
  <c r="E2039" i="1"/>
  <c r="F2039" i="1"/>
  <c r="G2039" i="1"/>
  <c r="A2039" i="1"/>
  <c r="B2039" i="1"/>
  <c r="H2039" i="1"/>
  <c r="I2039" i="1"/>
  <c r="D2034" i="1"/>
  <c r="E2034" i="1"/>
  <c r="F2034" i="1"/>
  <c r="G2034" i="1"/>
  <c r="A2034" i="1"/>
  <c r="B2034" i="1"/>
  <c r="H2034" i="1"/>
  <c r="I2034" i="1"/>
  <c r="D714" i="1"/>
  <c r="E714" i="1"/>
  <c r="F714" i="1"/>
  <c r="G714" i="1"/>
  <c r="A714" i="1"/>
  <c r="B714" i="1"/>
  <c r="H714" i="1"/>
  <c r="I714" i="1"/>
  <c r="D2032" i="1"/>
  <c r="E2032" i="1"/>
  <c r="F2032" i="1"/>
  <c r="G2032" i="1"/>
  <c r="A2032" i="1"/>
  <c r="B2032" i="1"/>
  <c r="H2032" i="1"/>
  <c r="I2032" i="1"/>
  <c r="D2033" i="1"/>
  <c r="E2033" i="1"/>
  <c r="F2033" i="1"/>
  <c r="G2033" i="1"/>
  <c r="A2033" i="1"/>
  <c r="B2033" i="1"/>
  <c r="H2033" i="1"/>
  <c r="I2033" i="1"/>
  <c r="D1088" i="1"/>
  <c r="E1088" i="1"/>
  <c r="F1088" i="1"/>
  <c r="G1088" i="1"/>
  <c r="A1088" i="1"/>
  <c r="B1088" i="1"/>
  <c r="H1088" i="1"/>
  <c r="I1088" i="1"/>
  <c r="D710" i="1"/>
  <c r="E710" i="1"/>
  <c r="F710" i="1"/>
  <c r="G710" i="1"/>
  <c r="A710" i="1"/>
  <c r="B710" i="1"/>
  <c r="H710" i="1"/>
  <c r="I710" i="1"/>
  <c r="D1732" i="1"/>
  <c r="E1732" i="1"/>
  <c r="F1732" i="1"/>
  <c r="G1732" i="1"/>
  <c r="A1732" i="1"/>
  <c r="B1732" i="1"/>
  <c r="H1732" i="1"/>
  <c r="I1732" i="1"/>
  <c r="D2035" i="1"/>
  <c r="E2035" i="1"/>
  <c r="F2035" i="1"/>
  <c r="G2035" i="1"/>
  <c r="A2035" i="1"/>
  <c r="B2035" i="1"/>
  <c r="H2035" i="1"/>
  <c r="I2035" i="1"/>
  <c r="D2686" i="1"/>
  <c r="E2686" i="1"/>
  <c r="F2686" i="1"/>
  <c r="G2686" i="1"/>
  <c r="A2686" i="1"/>
  <c r="B2686" i="1"/>
  <c r="H2686" i="1"/>
  <c r="I2686" i="1"/>
  <c r="D2685" i="1"/>
  <c r="E2685" i="1"/>
  <c r="F2685" i="1"/>
  <c r="G2685" i="1"/>
  <c r="A2685" i="1"/>
  <c r="B2685" i="1"/>
  <c r="H2685" i="1"/>
  <c r="I2685" i="1"/>
  <c r="D2215" i="1"/>
  <c r="E2215" i="1"/>
  <c r="F2215" i="1"/>
  <c r="G2215" i="1"/>
  <c r="A2215" i="1"/>
  <c r="B2215" i="1"/>
  <c r="H2215" i="1"/>
  <c r="I2215" i="1"/>
  <c r="D2213" i="1"/>
  <c r="E2213" i="1"/>
  <c r="F2213" i="1"/>
  <c r="G2213" i="1"/>
  <c r="A2213" i="1"/>
  <c r="B2213" i="1"/>
  <c r="H2213" i="1"/>
  <c r="I2213" i="1"/>
  <c r="D2559" i="1"/>
  <c r="E2559" i="1"/>
  <c r="F2559" i="1"/>
  <c r="G2559" i="1"/>
  <c r="A2559" i="1"/>
  <c r="B2559" i="1"/>
  <c r="H2559" i="1"/>
  <c r="I2559" i="1"/>
  <c r="D2212" i="1"/>
  <c r="E2212" i="1"/>
  <c r="F2212" i="1"/>
  <c r="G2212" i="1"/>
  <c r="A2212" i="1"/>
  <c r="B2212" i="1"/>
  <c r="H2212" i="1"/>
  <c r="I2212" i="1"/>
  <c r="D2214" i="1"/>
  <c r="E2214" i="1"/>
  <c r="F2214" i="1"/>
  <c r="G2214" i="1"/>
  <c r="A2214" i="1"/>
  <c r="B2214" i="1"/>
  <c r="H2214" i="1"/>
  <c r="I2214" i="1"/>
  <c r="D409" i="1"/>
  <c r="E409" i="1"/>
  <c r="F409" i="1"/>
  <c r="G409" i="1"/>
  <c r="A409" i="1"/>
  <c r="B409" i="1"/>
  <c r="H409" i="1"/>
  <c r="I409" i="1"/>
  <c r="D2560" i="1"/>
  <c r="E2560" i="1"/>
  <c r="F2560" i="1"/>
  <c r="G2560" i="1"/>
  <c r="A2560" i="1"/>
  <c r="B2560" i="1"/>
  <c r="H2560" i="1"/>
  <c r="I2560" i="1"/>
  <c r="D218" i="1"/>
  <c r="E218" i="1"/>
  <c r="F218" i="1"/>
  <c r="G218" i="1"/>
  <c r="A218" i="1"/>
  <c r="B218" i="1"/>
  <c r="H218" i="1"/>
  <c r="I218" i="1"/>
  <c r="D2253" i="1"/>
  <c r="E2253" i="1"/>
  <c r="F2253" i="1"/>
  <c r="G2253" i="1"/>
  <c r="A2253" i="1"/>
  <c r="B2253" i="1"/>
  <c r="H2253" i="1"/>
  <c r="I2253" i="1"/>
  <c r="D2231" i="1"/>
  <c r="E2231" i="1"/>
  <c r="F2231" i="1"/>
  <c r="G2231" i="1"/>
  <c r="A2231" i="1"/>
  <c r="B2231" i="1"/>
  <c r="H2231" i="1"/>
  <c r="I2231" i="1"/>
  <c r="D2650" i="1"/>
  <c r="E2650" i="1"/>
  <c r="F2650" i="1"/>
  <c r="G2650" i="1"/>
  <c r="A2650" i="1"/>
  <c r="B2650" i="1"/>
  <c r="H2650" i="1"/>
  <c r="I2650" i="1"/>
  <c r="D224" i="1"/>
  <c r="E224" i="1"/>
  <c r="F224" i="1"/>
  <c r="G224" i="1"/>
  <c r="A224" i="1"/>
  <c r="B224" i="1"/>
  <c r="H224" i="1"/>
  <c r="I224" i="1"/>
  <c r="D1777" i="1"/>
  <c r="E1777" i="1"/>
  <c r="F1777" i="1"/>
  <c r="G1777" i="1"/>
  <c r="A1777" i="1"/>
  <c r="B1777" i="1"/>
  <c r="H1777" i="1"/>
  <c r="I1777" i="1"/>
  <c r="D2657" i="1"/>
  <c r="E2657" i="1"/>
  <c r="F2657" i="1"/>
  <c r="G2657" i="1"/>
  <c r="A2657" i="1"/>
  <c r="B2657" i="1"/>
  <c r="H2657" i="1"/>
  <c r="I2657" i="1"/>
  <c r="D2251" i="1"/>
  <c r="E2251" i="1"/>
  <c r="F2251" i="1"/>
  <c r="G2251" i="1"/>
  <c r="A2251" i="1"/>
  <c r="B2251" i="1"/>
  <c r="H2251" i="1"/>
  <c r="I2251" i="1"/>
  <c r="D3044" i="1"/>
  <c r="E3044" i="1"/>
  <c r="F3044" i="1"/>
  <c r="G3044" i="1"/>
  <c r="A3044" i="1"/>
  <c r="B3044" i="1"/>
  <c r="H3044" i="1"/>
  <c r="I3044" i="1"/>
  <c r="D2239" i="1"/>
  <c r="E2239" i="1"/>
  <c r="F2239" i="1"/>
  <c r="G2239" i="1"/>
  <c r="A2239" i="1"/>
  <c r="B2239" i="1"/>
  <c r="H2239" i="1"/>
  <c r="I2239" i="1"/>
  <c r="D2868" i="1"/>
  <c r="E2868" i="1"/>
  <c r="F2868" i="1"/>
  <c r="G2868" i="1"/>
  <c r="A2868" i="1"/>
  <c r="B2868" i="1"/>
  <c r="H2868" i="1"/>
  <c r="I2868" i="1"/>
  <c r="D526" i="1"/>
  <c r="E526" i="1"/>
  <c r="F526" i="1"/>
  <c r="G526" i="1"/>
  <c r="A526" i="1"/>
  <c r="B526" i="1"/>
  <c r="H526" i="1"/>
  <c r="I526" i="1"/>
  <c r="D1778" i="1"/>
  <c r="E1778" i="1"/>
  <c r="F1778" i="1"/>
  <c r="G1778" i="1"/>
  <c r="A1778" i="1"/>
  <c r="B1778" i="1"/>
  <c r="H1778" i="1"/>
  <c r="I1778" i="1"/>
  <c r="D2258" i="1"/>
  <c r="E2258" i="1"/>
  <c r="F2258" i="1"/>
  <c r="G2258" i="1"/>
  <c r="A2258" i="1"/>
  <c r="B2258" i="1"/>
  <c r="H2258" i="1"/>
  <c r="I2258" i="1"/>
  <c r="D2567" i="1"/>
  <c r="E2567" i="1"/>
  <c r="F2567" i="1"/>
  <c r="G2567" i="1"/>
  <c r="A2567" i="1"/>
  <c r="B2567" i="1"/>
  <c r="H2567" i="1"/>
  <c r="I2567" i="1"/>
  <c r="D2245" i="1"/>
  <c r="E2245" i="1"/>
  <c r="F2245" i="1"/>
  <c r="G2245" i="1"/>
  <c r="A2245" i="1"/>
  <c r="B2245" i="1"/>
  <c r="H2245" i="1"/>
  <c r="I2245" i="1"/>
  <c r="D3375" i="1"/>
  <c r="E3375" i="1"/>
  <c r="F3375" i="1"/>
  <c r="G3375" i="1"/>
  <c r="A3375" i="1"/>
  <c r="B3375" i="1"/>
  <c r="H3375" i="1"/>
  <c r="I3375" i="1"/>
  <c r="D2712" i="1"/>
  <c r="E2712" i="1"/>
  <c r="F2712" i="1"/>
  <c r="G2712" i="1"/>
  <c r="A2712" i="1"/>
  <c r="B2712" i="1"/>
  <c r="H2712" i="1"/>
  <c r="I2712" i="1"/>
  <c r="D223" i="1"/>
  <c r="E223" i="1"/>
  <c r="F223" i="1"/>
  <c r="G223" i="1"/>
  <c r="A223" i="1"/>
  <c r="B223" i="1"/>
  <c r="H223" i="1"/>
  <c r="I223" i="1"/>
  <c r="D2614" i="1"/>
  <c r="E2614" i="1"/>
  <c r="F2614" i="1"/>
  <c r="G2614" i="1"/>
  <c r="A2614" i="1"/>
  <c r="B2614" i="1"/>
  <c r="H2614" i="1"/>
  <c r="I2614" i="1"/>
  <c r="D2615" i="1"/>
  <c r="E2615" i="1"/>
  <c r="F2615" i="1"/>
  <c r="G2615" i="1"/>
  <c r="A2615" i="1"/>
  <c r="B2615" i="1"/>
  <c r="H2615" i="1"/>
  <c r="I2615" i="1"/>
  <c r="D2228" i="1"/>
  <c r="E2228" i="1"/>
  <c r="F2228" i="1"/>
  <c r="G2228" i="1"/>
  <c r="A2228" i="1"/>
  <c r="B2228" i="1"/>
  <c r="H2228" i="1"/>
  <c r="I2228" i="1"/>
  <c r="D2241" i="1"/>
  <c r="E2241" i="1"/>
  <c r="F2241" i="1"/>
  <c r="G2241" i="1"/>
  <c r="A2241" i="1"/>
  <c r="B2241" i="1"/>
  <c r="H2241" i="1"/>
  <c r="I2241" i="1"/>
  <c r="D3187" i="1"/>
  <c r="E3187" i="1"/>
  <c r="F3187" i="1"/>
  <c r="G3187" i="1"/>
  <c r="A3187" i="1"/>
  <c r="B3187" i="1"/>
  <c r="H3187" i="1"/>
  <c r="I3187" i="1"/>
  <c r="D2655" i="1"/>
  <c r="E2655" i="1"/>
  <c r="F2655" i="1"/>
  <c r="G2655" i="1"/>
  <c r="A2655" i="1"/>
  <c r="B2655" i="1"/>
  <c r="H2655" i="1"/>
  <c r="I2655" i="1"/>
  <c r="D225" i="1"/>
  <c r="E225" i="1"/>
  <c r="F225" i="1"/>
  <c r="G225" i="1"/>
  <c r="A225" i="1"/>
  <c r="B225" i="1"/>
  <c r="H225" i="1"/>
  <c r="I225" i="1"/>
  <c r="D2257" i="1"/>
  <c r="E2257" i="1"/>
  <c r="F2257" i="1"/>
  <c r="G2257" i="1"/>
  <c r="A2257" i="1"/>
  <c r="B2257" i="1"/>
  <c r="H2257" i="1"/>
  <c r="I2257" i="1"/>
  <c r="D3041" i="1"/>
  <c r="E3041" i="1"/>
  <c r="F3041" i="1"/>
  <c r="G3041" i="1"/>
  <c r="A3041" i="1"/>
  <c r="B3041" i="1"/>
  <c r="H3041" i="1"/>
  <c r="I3041" i="1"/>
  <c r="D2238" i="1"/>
  <c r="E2238" i="1"/>
  <c r="F2238" i="1"/>
  <c r="G2238" i="1"/>
  <c r="A2238" i="1"/>
  <c r="B2238" i="1"/>
  <c r="H2238" i="1"/>
  <c r="I2238" i="1"/>
  <c r="D2586" i="1"/>
  <c r="E2586" i="1"/>
  <c r="F2586" i="1"/>
  <c r="G2586" i="1"/>
  <c r="A2586" i="1"/>
  <c r="B2586" i="1"/>
  <c r="H2586" i="1"/>
  <c r="I2586" i="1"/>
  <c r="D2652" i="1"/>
  <c r="E2652" i="1"/>
  <c r="F2652" i="1"/>
  <c r="G2652" i="1"/>
  <c r="A2652" i="1"/>
  <c r="B2652" i="1"/>
  <c r="H2652" i="1"/>
  <c r="I2652" i="1"/>
  <c r="D2250" i="1"/>
  <c r="E2250" i="1"/>
  <c r="F2250" i="1"/>
  <c r="G2250" i="1"/>
  <c r="A2250" i="1"/>
  <c r="B2250" i="1"/>
  <c r="H2250" i="1"/>
  <c r="I2250" i="1"/>
  <c r="D1082" i="1"/>
  <c r="E1082" i="1"/>
  <c r="F1082" i="1"/>
  <c r="G1082" i="1"/>
  <c r="A1082" i="1"/>
  <c r="B1082" i="1"/>
  <c r="H1082" i="1"/>
  <c r="I1082" i="1"/>
  <c r="D1083" i="1"/>
  <c r="E1083" i="1"/>
  <c r="F1083" i="1"/>
  <c r="G1083" i="1"/>
  <c r="A1083" i="1"/>
  <c r="B1083" i="1"/>
  <c r="H1083" i="1"/>
  <c r="I1083" i="1"/>
  <c r="D3043" i="1"/>
  <c r="E3043" i="1"/>
  <c r="F3043" i="1"/>
  <c r="G3043" i="1"/>
  <c r="A3043" i="1"/>
  <c r="B3043" i="1"/>
  <c r="H3043" i="1"/>
  <c r="I3043" i="1"/>
  <c r="D3031" i="1"/>
  <c r="E3031" i="1"/>
  <c r="F3031" i="1"/>
  <c r="G3031" i="1"/>
  <c r="A3031" i="1"/>
  <c r="B3031" i="1"/>
  <c r="H3031" i="1"/>
  <c r="I3031" i="1"/>
  <c r="D2660" i="1"/>
  <c r="E2660" i="1"/>
  <c r="F2660" i="1"/>
  <c r="G2660" i="1"/>
  <c r="A2660" i="1"/>
  <c r="B2660" i="1"/>
  <c r="H2660" i="1"/>
  <c r="I2660" i="1"/>
  <c r="D2254" i="1"/>
  <c r="E2254" i="1"/>
  <c r="F2254" i="1"/>
  <c r="G2254" i="1"/>
  <c r="A2254" i="1"/>
  <c r="B2254" i="1"/>
  <c r="H2254" i="1"/>
  <c r="I2254" i="1"/>
  <c r="D3287" i="1"/>
  <c r="E3287" i="1"/>
  <c r="F3287" i="1"/>
  <c r="G3287" i="1"/>
  <c r="A3287" i="1"/>
  <c r="B3287" i="1"/>
  <c r="H3287" i="1"/>
  <c r="I3287" i="1"/>
  <c r="D3042" i="1"/>
  <c r="E3042" i="1"/>
  <c r="F3042" i="1"/>
  <c r="G3042" i="1"/>
  <c r="A3042" i="1"/>
  <c r="B3042" i="1"/>
  <c r="H3042" i="1"/>
  <c r="I3042" i="1"/>
  <c r="D2713" i="1"/>
  <c r="E2713" i="1"/>
  <c r="F2713" i="1"/>
  <c r="G2713" i="1"/>
  <c r="A2713" i="1"/>
  <c r="B2713" i="1"/>
  <c r="H2713" i="1"/>
  <c r="I2713" i="1"/>
  <c r="D3376" i="1"/>
  <c r="E3376" i="1"/>
  <c r="F3376" i="1"/>
  <c r="G3376" i="1"/>
  <c r="A3376" i="1"/>
  <c r="B3376" i="1"/>
  <c r="H3376" i="1"/>
  <c r="I3376" i="1"/>
  <c r="D2246" i="1"/>
  <c r="E2246" i="1"/>
  <c r="F2246" i="1"/>
  <c r="G2246" i="1"/>
  <c r="A2246" i="1"/>
  <c r="B2246" i="1"/>
  <c r="H2246" i="1"/>
  <c r="I2246" i="1"/>
  <c r="D2247" i="1"/>
  <c r="E2247" i="1"/>
  <c r="F2247" i="1"/>
  <c r="G2247" i="1"/>
  <c r="A2247" i="1"/>
  <c r="B2247" i="1"/>
  <c r="H2247" i="1"/>
  <c r="I2247" i="1"/>
  <c r="D2714" i="1"/>
  <c r="E2714" i="1"/>
  <c r="F2714" i="1"/>
  <c r="G2714" i="1"/>
  <c r="A2714" i="1"/>
  <c r="B2714" i="1"/>
  <c r="H2714" i="1"/>
  <c r="I2714" i="1"/>
  <c r="D3377" i="1"/>
  <c r="E3377" i="1"/>
  <c r="F3377" i="1"/>
  <c r="G3377" i="1"/>
  <c r="A3377" i="1"/>
  <c r="B3377" i="1"/>
  <c r="H3377" i="1"/>
  <c r="I3377" i="1"/>
  <c r="D2653" i="1"/>
  <c r="E2653" i="1"/>
  <c r="F2653" i="1"/>
  <c r="G2653" i="1"/>
  <c r="A2653" i="1"/>
  <c r="B2653" i="1"/>
  <c r="H2653" i="1"/>
  <c r="I2653" i="1"/>
  <c r="D2248" i="1"/>
  <c r="E2248" i="1"/>
  <c r="F2248" i="1"/>
  <c r="G2248" i="1"/>
  <c r="A2248" i="1"/>
  <c r="B2248" i="1"/>
  <c r="H2248" i="1"/>
  <c r="I2248" i="1"/>
  <c r="D211" i="1"/>
  <c r="E211" i="1"/>
  <c r="F211" i="1"/>
  <c r="G211" i="1"/>
  <c r="A211" i="1"/>
  <c r="B211" i="1"/>
  <c r="H211" i="1"/>
  <c r="I211" i="1"/>
  <c r="D2233" i="1"/>
  <c r="E2233" i="1"/>
  <c r="F2233" i="1"/>
  <c r="G2233" i="1"/>
  <c r="A2233" i="1"/>
  <c r="B2233" i="1"/>
  <c r="H2233" i="1"/>
  <c r="I2233" i="1"/>
  <c r="D212" i="1"/>
  <c r="E212" i="1"/>
  <c r="F212" i="1"/>
  <c r="G212" i="1"/>
  <c r="A212" i="1"/>
  <c r="B212" i="1"/>
  <c r="H212" i="1"/>
  <c r="I212" i="1"/>
  <c r="D2234" i="1"/>
  <c r="E2234" i="1"/>
  <c r="F2234" i="1"/>
  <c r="G2234" i="1"/>
  <c r="A2234" i="1"/>
  <c r="B2234" i="1"/>
  <c r="H2234" i="1"/>
  <c r="I2234" i="1"/>
  <c r="D213" i="1"/>
  <c r="E213" i="1"/>
  <c r="F213" i="1"/>
  <c r="G213" i="1"/>
  <c r="A213" i="1"/>
  <c r="B213" i="1"/>
  <c r="H213" i="1"/>
  <c r="I213" i="1"/>
  <c r="D2236" i="1"/>
  <c r="E2236" i="1"/>
  <c r="F2236" i="1"/>
  <c r="G2236" i="1"/>
  <c r="A2236" i="1"/>
  <c r="B2236" i="1"/>
  <c r="H2236" i="1"/>
  <c r="I2236" i="1"/>
  <c r="D215" i="1"/>
  <c r="E215" i="1"/>
  <c r="F215" i="1"/>
  <c r="G215" i="1"/>
  <c r="A215" i="1"/>
  <c r="B215" i="1"/>
  <c r="H215" i="1"/>
  <c r="I215" i="1"/>
  <c r="D219" i="1"/>
  <c r="E219" i="1"/>
  <c r="F219" i="1"/>
  <c r="G219" i="1"/>
  <c r="A219" i="1"/>
  <c r="B219" i="1"/>
  <c r="H219" i="1"/>
  <c r="I219" i="1"/>
  <c r="D3543" i="1"/>
  <c r="E3543" i="1"/>
  <c r="F3543" i="1"/>
  <c r="G3543" i="1"/>
  <c r="A3543" i="1"/>
  <c r="B3543" i="1"/>
  <c r="H3543" i="1"/>
  <c r="I3543" i="1"/>
  <c r="D2651" i="1"/>
  <c r="E2651" i="1"/>
  <c r="F2651" i="1"/>
  <c r="G2651" i="1"/>
  <c r="A2651" i="1"/>
  <c r="B2651" i="1"/>
  <c r="H2651" i="1"/>
  <c r="I2651" i="1"/>
  <c r="D1238" i="1"/>
  <c r="E1238" i="1"/>
  <c r="F1238" i="1"/>
  <c r="G1238" i="1"/>
  <c r="A1238" i="1"/>
  <c r="B1238" i="1"/>
  <c r="H1238" i="1"/>
  <c r="I1238" i="1"/>
  <c r="D2568" i="1"/>
  <c r="E2568" i="1"/>
  <c r="F2568" i="1"/>
  <c r="G2568" i="1"/>
  <c r="A2568" i="1"/>
  <c r="B2568" i="1"/>
  <c r="H2568" i="1"/>
  <c r="I2568" i="1"/>
  <c r="D3167" i="1"/>
  <c r="E3167" i="1"/>
  <c r="F3167" i="1"/>
  <c r="G3167" i="1"/>
  <c r="A3167" i="1"/>
  <c r="B3167" i="1"/>
  <c r="H3167" i="1"/>
  <c r="I3167" i="1"/>
  <c r="D217" i="1"/>
  <c r="E217" i="1"/>
  <c r="F217" i="1"/>
  <c r="G217" i="1"/>
  <c r="A217" i="1"/>
  <c r="B217" i="1"/>
  <c r="H217" i="1"/>
  <c r="I217" i="1"/>
  <c r="D531" i="1"/>
  <c r="E531" i="1"/>
  <c r="F531" i="1"/>
  <c r="G531" i="1"/>
  <c r="A531" i="1"/>
  <c r="B531" i="1"/>
  <c r="H531" i="1"/>
  <c r="I531" i="1"/>
  <c r="D3191" i="1"/>
  <c r="E3191" i="1"/>
  <c r="F3191" i="1"/>
  <c r="G3191" i="1"/>
  <c r="A3191" i="1"/>
  <c r="B3191" i="1"/>
  <c r="H3191" i="1"/>
  <c r="I3191" i="1"/>
  <c r="D2244" i="1"/>
  <c r="E2244" i="1"/>
  <c r="F2244" i="1"/>
  <c r="G2244" i="1"/>
  <c r="A2244" i="1"/>
  <c r="B2244" i="1"/>
  <c r="H2244" i="1"/>
  <c r="I2244" i="1"/>
  <c r="D2656" i="1"/>
  <c r="E2656" i="1"/>
  <c r="F2656" i="1"/>
  <c r="G2656" i="1"/>
  <c r="A2656" i="1"/>
  <c r="B2656" i="1"/>
  <c r="H2656" i="1"/>
  <c r="I2656" i="1"/>
  <c r="D2240" i="1"/>
  <c r="E2240" i="1"/>
  <c r="F2240" i="1"/>
  <c r="G2240" i="1"/>
  <c r="A2240" i="1"/>
  <c r="B2240" i="1"/>
  <c r="H2240" i="1"/>
  <c r="I2240" i="1"/>
  <c r="D527" i="1"/>
  <c r="E527" i="1"/>
  <c r="F527" i="1"/>
  <c r="G527" i="1"/>
  <c r="A527" i="1"/>
  <c r="B527" i="1"/>
  <c r="H527" i="1"/>
  <c r="I527" i="1"/>
  <c r="D528" i="1"/>
  <c r="E528" i="1"/>
  <c r="F528" i="1"/>
  <c r="G528" i="1"/>
  <c r="A528" i="1"/>
  <c r="B528" i="1"/>
  <c r="H528" i="1"/>
  <c r="I528" i="1"/>
  <c r="D2869" i="1"/>
  <c r="E2869" i="1"/>
  <c r="F2869" i="1"/>
  <c r="G2869" i="1"/>
  <c r="A2869" i="1"/>
  <c r="B2869" i="1"/>
  <c r="H2869" i="1"/>
  <c r="I2869" i="1"/>
  <c r="D532" i="1"/>
  <c r="E532" i="1"/>
  <c r="F532" i="1"/>
  <c r="G532" i="1"/>
  <c r="A532" i="1"/>
  <c r="B532" i="1"/>
  <c r="H532" i="1"/>
  <c r="I532" i="1"/>
  <c r="D3190" i="1"/>
  <c r="E3190" i="1"/>
  <c r="F3190" i="1"/>
  <c r="G3190" i="1"/>
  <c r="A3190" i="1"/>
  <c r="B3190" i="1"/>
  <c r="H3190" i="1"/>
  <c r="I3190" i="1"/>
  <c r="D2243" i="1"/>
  <c r="E2243" i="1"/>
  <c r="F2243" i="1"/>
  <c r="G2243" i="1"/>
  <c r="A2243" i="1"/>
  <c r="B2243" i="1"/>
  <c r="H2243" i="1"/>
  <c r="I2243" i="1"/>
  <c r="D530" i="1"/>
  <c r="E530" i="1"/>
  <c r="F530" i="1"/>
  <c r="G530" i="1"/>
  <c r="A530" i="1"/>
  <c r="B530" i="1"/>
  <c r="H530" i="1"/>
  <c r="I530" i="1"/>
  <c r="D2654" i="1"/>
  <c r="E2654" i="1"/>
  <c r="F2654" i="1"/>
  <c r="G2654" i="1"/>
  <c r="A2654" i="1"/>
  <c r="B2654" i="1"/>
  <c r="H2654" i="1"/>
  <c r="I2654" i="1"/>
  <c r="D2249" i="1"/>
  <c r="E2249" i="1"/>
  <c r="F2249" i="1"/>
  <c r="G2249" i="1"/>
  <c r="A2249" i="1"/>
  <c r="B2249" i="1"/>
  <c r="H2249" i="1"/>
  <c r="I2249" i="1"/>
  <c r="D2256" i="1"/>
  <c r="E2256" i="1"/>
  <c r="F2256" i="1"/>
  <c r="G2256" i="1"/>
  <c r="A2256" i="1"/>
  <c r="B2256" i="1"/>
  <c r="H2256" i="1"/>
  <c r="I2256" i="1"/>
  <c r="D2255" i="1"/>
  <c r="E2255" i="1"/>
  <c r="F2255" i="1"/>
  <c r="G2255" i="1"/>
  <c r="A2255" i="1"/>
  <c r="B2255" i="1"/>
  <c r="H2255" i="1"/>
  <c r="I2255" i="1"/>
  <c r="D216" i="1"/>
  <c r="E216" i="1"/>
  <c r="F216" i="1"/>
  <c r="G216" i="1"/>
  <c r="A216" i="1"/>
  <c r="B216" i="1"/>
  <c r="H216" i="1"/>
  <c r="I216" i="1"/>
  <c r="D2237" i="1"/>
  <c r="E2237" i="1"/>
  <c r="F2237" i="1"/>
  <c r="G2237" i="1"/>
  <c r="A2237" i="1"/>
  <c r="B2237" i="1"/>
  <c r="H2237" i="1"/>
  <c r="I2237" i="1"/>
  <c r="D221" i="1"/>
  <c r="E221" i="1"/>
  <c r="F221" i="1"/>
  <c r="G221" i="1"/>
  <c r="A221" i="1"/>
  <c r="B221" i="1"/>
  <c r="H221" i="1"/>
  <c r="I221" i="1"/>
  <c r="D2715" i="1"/>
  <c r="E2715" i="1"/>
  <c r="F2715" i="1"/>
  <c r="G2715" i="1"/>
  <c r="A2715" i="1"/>
  <c r="B2715" i="1"/>
  <c r="H2715" i="1"/>
  <c r="I2715" i="1"/>
  <c r="D2870" i="1"/>
  <c r="E2870" i="1"/>
  <c r="F2870" i="1"/>
  <c r="G2870" i="1"/>
  <c r="A2870" i="1"/>
  <c r="B2870" i="1"/>
  <c r="H2870" i="1"/>
  <c r="I2870" i="1"/>
  <c r="D2242" i="1"/>
  <c r="E2242" i="1"/>
  <c r="F2242" i="1"/>
  <c r="G2242" i="1"/>
  <c r="A2242" i="1"/>
  <c r="B2242" i="1"/>
  <c r="H2242" i="1"/>
  <c r="I2242" i="1"/>
  <c r="D529" i="1"/>
  <c r="E529" i="1"/>
  <c r="F529" i="1"/>
  <c r="G529" i="1"/>
  <c r="A529" i="1"/>
  <c r="B529" i="1"/>
  <c r="H529" i="1"/>
  <c r="I529" i="1"/>
  <c r="D3130" i="1"/>
  <c r="E3130" i="1"/>
  <c r="F3130" i="1"/>
  <c r="G3130" i="1"/>
  <c r="A3130" i="1"/>
  <c r="B3130" i="1"/>
  <c r="H3130" i="1"/>
  <c r="I3130" i="1"/>
  <c r="D533" i="1"/>
  <c r="E533" i="1"/>
  <c r="F533" i="1"/>
  <c r="G533" i="1"/>
  <c r="A533" i="1"/>
  <c r="B533" i="1"/>
  <c r="H533" i="1"/>
  <c r="I533" i="1"/>
  <c r="D1776" i="1"/>
  <c r="E1776" i="1"/>
  <c r="F1776" i="1"/>
  <c r="G1776" i="1"/>
  <c r="A1776" i="1"/>
  <c r="B1776" i="1"/>
  <c r="H1776" i="1"/>
  <c r="I1776" i="1"/>
  <c r="D3132" i="1"/>
  <c r="E3132" i="1"/>
  <c r="F3132" i="1"/>
  <c r="G3132" i="1"/>
  <c r="A3132" i="1"/>
  <c r="B3132" i="1"/>
  <c r="H3132" i="1"/>
  <c r="I3132" i="1"/>
  <c r="D2259" i="1"/>
  <c r="E2259" i="1"/>
  <c r="F2259" i="1"/>
  <c r="G2259" i="1"/>
  <c r="A2259" i="1"/>
  <c r="B2259" i="1"/>
  <c r="H2259" i="1"/>
  <c r="I2259" i="1"/>
  <c r="D2260" i="1"/>
  <c r="E2260" i="1"/>
  <c r="F2260" i="1"/>
  <c r="G2260" i="1"/>
  <c r="A2260" i="1"/>
  <c r="B2260" i="1"/>
  <c r="H2260" i="1"/>
  <c r="I2260" i="1"/>
  <c r="D2252" i="1"/>
  <c r="E2252" i="1"/>
  <c r="F2252" i="1"/>
  <c r="G2252" i="1"/>
  <c r="A2252" i="1"/>
  <c r="B2252" i="1"/>
  <c r="H2252" i="1"/>
  <c r="I2252" i="1"/>
  <c r="D2646" i="1"/>
  <c r="E2646" i="1"/>
  <c r="F2646" i="1"/>
  <c r="G2646" i="1"/>
  <c r="A2646" i="1"/>
  <c r="B2646" i="1"/>
  <c r="H2646" i="1"/>
  <c r="I2646" i="1"/>
  <c r="D2647" i="1"/>
  <c r="E2647" i="1"/>
  <c r="F2647" i="1"/>
  <c r="G2647" i="1"/>
  <c r="A2647" i="1"/>
  <c r="B2647" i="1"/>
  <c r="H2647" i="1"/>
  <c r="I2647" i="1"/>
  <c r="D2229" i="1"/>
  <c r="E2229" i="1"/>
  <c r="F2229" i="1"/>
  <c r="G2229" i="1"/>
  <c r="A2229" i="1"/>
  <c r="B2229" i="1"/>
  <c r="H2229" i="1"/>
  <c r="I2229" i="1"/>
  <c r="D2613" i="1"/>
  <c r="E2613" i="1"/>
  <c r="F2613" i="1"/>
  <c r="G2613" i="1"/>
  <c r="A2613" i="1"/>
  <c r="B2613" i="1"/>
  <c r="H2613" i="1"/>
  <c r="I2613" i="1"/>
  <c r="D220" i="1"/>
  <c r="E220" i="1"/>
  <c r="F220" i="1"/>
  <c r="G220" i="1"/>
  <c r="A220" i="1"/>
  <c r="B220" i="1"/>
  <c r="H220" i="1"/>
  <c r="I220" i="1"/>
  <c r="D3131" i="1"/>
  <c r="E3131" i="1"/>
  <c r="F3131" i="1"/>
  <c r="G3131" i="1"/>
  <c r="A3131" i="1"/>
  <c r="B3131" i="1"/>
  <c r="H3131" i="1"/>
  <c r="I3131" i="1"/>
  <c r="D3188" i="1"/>
  <c r="E3188" i="1"/>
  <c r="F3188" i="1"/>
  <c r="G3188" i="1"/>
  <c r="A3188" i="1"/>
  <c r="B3188" i="1"/>
  <c r="H3188" i="1"/>
  <c r="I3188" i="1"/>
  <c r="D3189" i="1"/>
  <c r="E3189" i="1"/>
  <c r="F3189" i="1"/>
  <c r="G3189" i="1"/>
  <c r="A3189" i="1"/>
  <c r="B3189" i="1"/>
  <c r="H3189" i="1"/>
  <c r="I3189" i="1"/>
  <c r="D3166" i="1"/>
  <c r="E3166" i="1"/>
  <c r="F3166" i="1"/>
  <c r="G3166" i="1"/>
  <c r="A3166" i="1"/>
  <c r="B3166" i="1"/>
  <c r="H3166" i="1"/>
  <c r="I3166" i="1"/>
  <c r="D222" i="1"/>
  <c r="E222" i="1"/>
  <c r="F222" i="1"/>
  <c r="G222" i="1"/>
  <c r="A222" i="1"/>
  <c r="B222" i="1"/>
  <c r="H222" i="1"/>
  <c r="I222" i="1"/>
  <c r="D2648" i="1"/>
  <c r="E2648" i="1"/>
  <c r="F2648" i="1"/>
  <c r="G2648" i="1"/>
  <c r="A2648" i="1"/>
  <c r="B2648" i="1"/>
  <c r="H2648" i="1"/>
  <c r="I2648" i="1"/>
  <c r="D2230" i="1"/>
  <c r="E2230" i="1"/>
  <c r="F2230" i="1"/>
  <c r="G2230" i="1"/>
  <c r="A2230" i="1"/>
  <c r="B2230" i="1"/>
  <c r="H2230" i="1"/>
  <c r="I2230" i="1"/>
  <c r="D2649" i="1"/>
  <c r="E2649" i="1"/>
  <c r="F2649" i="1"/>
  <c r="G2649" i="1"/>
  <c r="A2649" i="1"/>
  <c r="B2649" i="1"/>
  <c r="H2649" i="1"/>
  <c r="I2649" i="1"/>
  <c r="D210" i="1"/>
  <c r="E210" i="1"/>
  <c r="F210" i="1"/>
  <c r="G210" i="1"/>
  <c r="A210" i="1"/>
  <c r="B210" i="1"/>
  <c r="H210" i="1"/>
  <c r="I210" i="1"/>
  <c r="D2232" i="1"/>
  <c r="E2232" i="1"/>
  <c r="F2232" i="1"/>
  <c r="G2232" i="1"/>
  <c r="A2232" i="1"/>
  <c r="B2232" i="1"/>
  <c r="H2232" i="1"/>
  <c r="I2232" i="1"/>
  <c r="D214" i="1"/>
  <c r="E214" i="1"/>
  <c r="F214" i="1"/>
  <c r="G214" i="1"/>
  <c r="A214" i="1"/>
  <c r="B214" i="1"/>
  <c r="H214" i="1"/>
  <c r="I214" i="1"/>
  <c r="D2235" i="1"/>
  <c r="E2235" i="1"/>
  <c r="F2235" i="1"/>
  <c r="G2235" i="1"/>
  <c r="A2235" i="1"/>
  <c r="B2235" i="1"/>
  <c r="H2235" i="1"/>
  <c r="I2235" i="1"/>
  <c r="D1146" i="1"/>
  <c r="E1146" i="1"/>
  <c r="F1146" i="1"/>
  <c r="G1146" i="1"/>
  <c r="A1146" i="1"/>
  <c r="B1146" i="1"/>
  <c r="H1146" i="1"/>
  <c r="I1146" i="1"/>
  <c r="D2435" i="1"/>
  <c r="E2435" i="1"/>
  <c r="F2435" i="1"/>
  <c r="G2435" i="1"/>
  <c r="A2435" i="1"/>
  <c r="B2435" i="1"/>
  <c r="H2435" i="1"/>
  <c r="I2435" i="1"/>
  <c r="D3157" i="1"/>
  <c r="E3157" i="1"/>
  <c r="F3157" i="1"/>
  <c r="G3157" i="1"/>
  <c r="A3157" i="1"/>
  <c r="B3157" i="1"/>
  <c r="H3157" i="1"/>
  <c r="I3157" i="1"/>
  <c r="D1258" i="1"/>
  <c r="E1258" i="1"/>
  <c r="F1258" i="1"/>
  <c r="G1258" i="1"/>
  <c r="A1258" i="1"/>
  <c r="B1258" i="1"/>
  <c r="H1258" i="1"/>
  <c r="I1258" i="1"/>
  <c r="D1250" i="1"/>
  <c r="E1250" i="1"/>
  <c r="F1250" i="1"/>
  <c r="G1250" i="1"/>
  <c r="A1250" i="1"/>
  <c r="B1250" i="1"/>
  <c r="H1250" i="1"/>
  <c r="I1250" i="1"/>
  <c r="D1255" i="1"/>
  <c r="E1255" i="1"/>
  <c r="F1255" i="1"/>
  <c r="G1255" i="1"/>
  <c r="A1255" i="1"/>
  <c r="B1255" i="1"/>
  <c r="H1255" i="1"/>
  <c r="I1255" i="1"/>
  <c r="D1261" i="1"/>
  <c r="E1261" i="1"/>
  <c r="F1261" i="1"/>
  <c r="G1261" i="1"/>
  <c r="A1261" i="1"/>
  <c r="B1261" i="1"/>
  <c r="H1261" i="1"/>
  <c r="I1261" i="1"/>
  <c r="D2432" i="1"/>
  <c r="E2432" i="1"/>
  <c r="F2432" i="1"/>
  <c r="G2432" i="1"/>
  <c r="A2432" i="1"/>
  <c r="B2432" i="1"/>
  <c r="H2432" i="1"/>
  <c r="I2432" i="1"/>
  <c r="D2438" i="1"/>
  <c r="E2438" i="1"/>
  <c r="F2438" i="1"/>
  <c r="G2438" i="1"/>
  <c r="A2438" i="1"/>
  <c r="B2438" i="1"/>
  <c r="H2438" i="1"/>
  <c r="I2438" i="1"/>
  <c r="D2439" i="1"/>
  <c r="E2439" i="1"/>
  <c r="F2439" i="1"/>
  <c r="G2439" i="1"/>
  <c r="A2439" i="1"/>
  <c r="B2439" i="1"/>
  <c r="H2439" i="1"/>
  <c r="I2439" i="1"/>
  <c r="D3067" i="1"/>
  <c r="E3067" i="1"/>
  <c r="F3067" i="1"/>
  <c r="G3067" i="1"/>
  <c r="A3067" i="1"/>
  <c r="B3067" i="1"/>
  <c r="H3067" i="1"/>
  <c r="I3067" i="1"/>
  <c r="D3068" i="1"/>
  <c r="E3068" i="1"/>
  <c r="F3068" i="1"/>
  <c r="G3068" i="1"/>
  <c r="A3068" i="1"/>
  <c r="B3068" i="1"/>
  <c r="H3068" i="1"/>
  <c r="I3068" i="1"/>
  <c r="D1251" i="1"/>
  <c r="E1251" i="1"/>
  <c r="F1251" i="1"/>
  <c r="G1251" i="1"/>
  <c r="A1251" i="1"/>
  <c r="B1251" i="1"/>
  <c r="H1251" i="1"/>
  <c r="I1251" i="1"/>
  <c r="D1252" i="1"/>
  <c r="E1252" i="1"/>
  <c r="F1252" i="1"/>
  <c r="G1252" i="1"/>
  <c r="A1252" i="1"/>
  <c r="B1252" i="1"/>
  <c r="H1252" i="1"/>
  <c r="I1252" i="1"/>
  <c r="D1260" i="1"/>
  <c r="E1260" i="1"/>
  <c r="F1260" i="1"/>
  <c r="G1260" i="1"/>
  <c r="A1260" i="1"/>
  <c r="B1260" i="1"/>
  <c r="H1260" i="1"/>
  <c r="I1260" i="1"/>
  <c r="D2434" i="1"/>
  <c r="E2434" i="1"/>
  <c r="F2434" i="1"/>
  <c r="G2434" i="1"/>
  <c r="A2434" i="1"/>
  <c r="B2434" i="1"/>
  <c r="H2434" i="1"/>
  <c r="I2434" i="1"/>
  <c r="D2440" i="1"/>
  <c r="E2440" i="1"/>
  <c r="F2440" i="1"/>
  <c r="G2440" i="1"/>
  <c r="A2440" i="1"/>
  <c r="B2440" i="1"/>
  <c r="H2440" i="1"/>
  <c r="I2440" i="1"/>
  <c r="D1249" i="1"/>
  <c r="E1249" i="1"/>
  <c r="F1249" i="1"/>
  <c r="G1249" i="1"/>
  <c r="A1249" i="1"/>
  <c r="B1249" i="1"/>
  <c r="H1249" i="1"/>
  <c r="I1249" i="1"/>
  <c r="D1253" i="1"/>
  <c r="E1253" i="1"/>
  <c r="F1253" i="1"/>
  <c r="G1253" i="1"/>
  <c r="A1253" i="1"/>
  <c r="B1253" i="1"/>
  <c r="H1253" i="1"/>
  <c r="I1253" i="1"/>
  <c r="D1257" i="1"/>
  <c r="E1257" i="1"/>
  <c r="F1257" i="1"/>
  <c r="G1257" i="1"/>
  <c r="A1257" i="1"/>
  <c r="B1257" i="1"/>
  <c r="H1257" i="1"/>
  <c r="I1257" i="1"/>
  <c r="D2433" i="1"/>
  <c r="E2433" i="1"/>
  <c r="F2433" i="1"/>
  <c r="G2433" i="1"/>
  <c r="A2433" i="1"/>
  <c r="B2433" i="1"/>
  <c r="H2433" i="1"/>
  <c r="I2433" i="1"/>
  <c r="D2441" i="1"/>
  <c r="E2441" i="1"/>
  <c r="F2441" i="1"/>
  <c r="G2441" i="1"/>
  <c r="A2441" i="1"/>
  <c r="B2441" i="1"/>
  <c r="H2441" i="1"/>
  <c r="I2441" i="1"/>
  <c r="D1254" i="1"/>
  <c r="E1254" i="1"/>
  <c r="F1254" i="1"/>
  <c r="G1254" i="1"/>
  <c r="A1254" i="1"/>
  <c r="B1254" i="1"/>
  <c r="H1254" i="1"/>
  <c r="I1254" i="1"/>
  <c r="D1256" i="1"/>
  <c r="E1256" i="1"/>
  <c r="F1256" i="1"/>
  <c r="G1256" i="1"/>
  <c r="A1256" i="1"/>
  <c r="B1256" i="1"/>
  <c r="H1256" i="1"/>
  <c r="I1256" i="1"/>
  <c r="D2436" i="1"/>
  <c r="E2436" i="1"/>
  <c r="F2436" i="1"/>
  <c r="G2436" i="1"/>
  <c r="A2436" i="1"/>
  <c r="B2436" i="1"/>
  <c r="H2436" i="1"/>
  <c r="I2436" i="1"/>
  <c r="D3070" i="1"/>
  <c r="E3070" i="1"/>
  <c r="F3070" i="1"/>
  <c r="G3070" i="1"/>
  <c r="A3070" i="1"/>
  <c r="B3070" i="1"/>
  <c r="H3070" i="1"/>
  <c r="I3070" i="1"/>
  <c r="D2437" i="1"/>
  <c r="E2437" i="1"/>
  <c r="F2437" i="1"/>
  <c r="G2437" i="1"/>
  <c r="A2437" i="1"/>
  <c r="B2437" i="1"/>
  <c r="H2437" i="1"/>
  <c r="I2437" i="1"/>
  <c r="D1259" i="1"/>
  <c r="E1259" i="1"/>
  <c r="F1259" i="1"/>
  <c r="G1259" i="1"/>
  <c r="A1259" i="1"/>
  <c r="B1259" i="1"/>
  <c r="H1259" i="1"/>
  <c r="I1259" i="1"/>
  <c r="D1118" i="1"/>
  <c r="E1118" i="1"/>
  <c r="F1118" i="1"/>
  <c r="G1118" i="1"/>
  <c r="A1118" i="1"/>
  <c r="B1118" i="1"/>
  <c r="H1118" i="1"/>
  <c r="I1118" i="1"/>
  <c r="D1119" i="1"/>
  <c r="E1119" i="1"/>
  <c r="F1119" i="1"/>
  <c r="G1119" i="1"/>
  <c r="A1119" i="1"/>
  <c r="B1119" i="1"/>
  <c r="H1119" i="1"/>
  <c r="I1119" i="1"/>
  <c r="D2524" i="1"/>
  <c r="E2524" i="1"/>
  <c r="F2524" i="1"/>
  <c r="G2524" i="1"/>
  <c r="A2524" i="1"/>
  <c r="B2524" i="1"/>
  <c r="H2524" i="1"/>
  <c r="I2524" i="1"/>
  <c r="D3104" i="1"/>
  <c r="E3104" i="1"/>
  <c r="F3104" i="1"/>
  <c r="G3104" i="1"/>
  <c r="A3104" i="1"/>
  <c r="B3104" i="1"/>
  <c r="H3104" i="1"/>
  <c r="I3104" i="1"/>
  <c r="D2808" i="1"/>
  <c r="E2808" i="1"/>
  <c r="F2808" i="1"/>
  <c r="G2808" i="1"/>
  <c r="A2808" i="1"/>
  <c r="B2808" i="1"/>
  <c r="H2808" i="1"/>
  <c r="I2808" i="1"/>
  <c r="D737" i="1"/>
  <c r="E737" i="1"/>
  <c r="F737" i="1"/>
  <c r="G737" i="1"/>
  <c r="A737" i="1"/>
  <c r="B737" i="1"/>
  <c r="H737" i="1"/>
  <c r="I737" i="1"/>
  <c r="D741" i="1"/>
  <c r="E741" i="1"/>
  <c r="F741" i="1"/>
  <c r="G741" i="1"/>
  <c r="A741" i="1"/>
  <c r="B741" i="1"/>
  <c r="H741" i="1"/>
  <c r="I741" i="1"/>
  <c r="D739" i="1"/>
  <c r="E739" i="1"/>
  <c r="F739" i="1"/>
  <c r="G739" i="1"/>
  <c r="A739" i="1"/>
  <c r="B739" i="1"/>
  <c r="H739" i="1"/>
  <c r="I739" i="1"/>
  <c r="D2526" i="1"/>
  <c r="E2526" i="1"/>
  <c r="F2526" i="1"/>
  <c r="G2526" i="1"/>
  <c r="A2526" i="1"/>
  <c r="B2526" i="1"/>
  <c r="H2526" i="1"/>
  <c r="I2526" i="1"/>
  <c r="D1115" i="1"/>
  <c r="E1115" i="1"/>
  <c r="F1115" i="1"/>
  <c r="G1115" i="1"/>
  <c r="A1115" i="1"/>
  <c r="B1115" i="1"/>
  <c r="H1115" i="1"/>
  <c r="I1115" i="1"/>
  <c r="D1120" i="1"/>
  <c r="E1120" i="1"/>
  <c r="F1120" i="1"/>
  <c r="G1120" i="1"/>
  <c r="A1120" i="1"/>
  <c r="B1120" i="1"/>
  <c r="H1120" i="1"/>
  <c r="I1120" i="1"/>
  <c r="D2807" i="1"/>
  <c r="E2807" i="1"/>
  <c r="F2807" i="1"/>
  <c r="G2807" i="1"/>
  <c r="A2807" i="1"/>
  <c r="B2807" i="1"/>
  <c r="H2807" i="1"/>
  <c r="I2807" i="1"/>
  <c r="D3530" i="1"/>
  <c r="E3530" i="1"/>
  <c r="F3530" i="1"/>
  <c r="G3530" i="1"/>
  <c r="A3530" i="1"/>
  <c r="B3530" i="1"/>
  <c r="H3530" i="1"/>
  <c r="I3530" i="1"/>
  <c r="D736" i="1"/>
  <c r="E736" i="1"/>
  <c r="F736" i="1"/>
  <c r="G736" i="1"/>
  <c r="A736" i="1"/>
  <c r="B736" i="1"/>
  <c r="H736" i="1"/>
  <c r="I736" i="1"/>
  <c r="D742" i="1"/>
  <c r="E742" i="1"/>
  <c r="F742" i="1"/>
  <c r="G742" i="1"/>
  <c r="A742" i="1"/>
  <c r="B742" i="1"/>
  <c r="H742" i="1"/>
  <c r="I742" i="1"/>
  <c r="D3488" i="1"/>
  <c r="E3488" i="1"/>
  <c r="F3488" i="1"/>
  <c r="G3488" i="1"/>
  <c r="A3488" i="1"/>
  <c r="B3488" i="1"/>
  <c r="H3488" i="1"/>
  <c r="I3488" i="1"/>
  <c r="D1114" i="1"/>
  <c r="E1114" i="1"/>
  <c r="F1114" i="1"/>
  <c r="G1114" i="1"/>
  <c r="A1114" i="1"/>
  <c r="B1114" i="1"/>
  <c r="H1114" i="1"/>
  <c r="I1114" i="1"/>
  <c r="D1074" i="1"/>
  <c r="E1074" i="1"/>
  <c r="F1074" i="1"/>
  <c r="G1074" i="1"/>
  <c r="A1074" i="1"/>
  <c r="B1074" i="1"/>
  <c r="H1074" i="1"/>
  <c r="I1074" i="1"/>
  <c r="D3490" i="1"/>
  <c r="E3490" i="1"/>
  <c r="F3490" i="1"/>
  <c r="G3490" i="1"/>
  <c r="A3490" i="1"/>
  <c r="B3490" i="1"/>
  <c r="H3490" i="1"/>
  <c r="I3490" i="1"/>
  <c r="D2525" i="1"/>
  <c r="E2525" i="1"/>
  <c r="F2525" i="1"/>
  <c r="G2525" i="1"/>
  <c r="A2525" i="1"/>
  <c r="B2525" i="1"/>
  <c r="H2525" i="1"/>
  <c r="I2525" i="1"/>
  <c r="D740" i="1"/>
  <c r="E740" i="1"/>
  <c r="F740" i="1"/>
  <c r="G740" i="1"/>
  <c r="A740" i="1"/>
  <c r="B740" i="1"/>
  <c r="H740" i="1"/>
  <c r="I740" i="1"/>
  <c r="D3489" i="1"/>
  <c r="E3489" i="1"/>
  <c r="F3489" i="1"/>
  <c r="G3489" i="1"/>
  <c r="A3489" i="1"/>
  <c r="B3489" i="1"/>
  <c r="H3489" i="1"/>
  <c r="I3489" i="1"/>
  <c r="D1075" i="1"/>
  <c r="E1075" i="1"/>
  <c r="F1075" i="1"/>
  <c r="G1075" i="1"/>
  <c r="A1075" i="1"/>
  <c r="B1075" i="1"/>
  <c r="H1075" i="1"/>
  <c r="I1075" i="1"/>
  <c r="D2901" i="1"/>
  <c r="E2901" i="1"/>
  <c r="F2901" i="1"/>
  <c r="G2901" i="1"/>
  <c r="A2901" i="1"/>
  <c r="B2901" i="1"/>
  <c r="H2901" i="1"/>
  <c r="I2901" i="1"/>
  <c r="D2900" i="1"/>
  <c r="E2900" i="1"/>
  <c r="F2900" i="1"/>
  <c r="G2900" i="1"/>
  <c r="A2900" i="1"/>
  <c r="B2900" i="1"/>
  <c r="H2900" i="1"/>
  <c r="I2900" i="1"/>
  <c r="D1116" i="1"/>
  <c r="E1116" i="1"/>
  <c r="F1116" i="1"/>
  <c r="G1116" i="1"/>
  <c r="A1116" i="1"/>
  <c r="B1116" i="1"/>
  <c r="H1116" i="1"/>
  <c r="I1116" i="1"/>
  <c r="D1117" i="1"/>
  <c r="E1117" i="1"/>
  <c r="F1117" i="1"/>
  <c r="G1117" i="1"/>
  <c r="A1117" i="1"/>
  <c r="B1117" i="1"/>
  <c r="H1117" i="1"/>
  <c r="I1117" i="1"/>
  <c r="D1550" i="1"/>
  <c r="E1550" i="1"/>
  <c r="F1550" i="1"/>
  <c r="G1550" i="1"/>
  <c r="A1550" i="1"/>
  <c r="B1550" i="1"/>
  <c r="H1550" i="1"/>
  <c r="I1550" i="1"/>
  <c r="D2968" i="1"/>
  <c r="E2968" i="1"/>
  <c r="F2968" i="1"/>
  <c r="G2968" i="1"/>
  <c r="A2968" i="1"/>
  <c r="B2968" i="1"/>
  <c r="H2968" i="1"/>
  <c r="I2968" i="1"/>
  <c r="D1549" i="1"/>
  <c r="E1549" i="1"/>
  <c r="F1549" i="1"/>
  <c r="G1549" i="1"/>
  <c r="A1549" i="1"/>
  <c r="B1549" i="1"/>
  <c r="H1549" i="1"/>
  <c r="I1549" i="1"/>
  <c r="D3111" i="1"/>
  <c r="E3111" i="1"/>
  <c r="F3111" i="1"/>
  <c r="G3111" i="1"/>
  <c r="A3111" i="1"/>
  <c r="B3111" i="1"/>
  <c r="H3111" i="1"/>
  <c r="I3111" i="1"/>
  <c r="D1551" i="1"/>
  <c r="E1551" i="1"/>
  <c r="F1551" i="1"/>
  <c r="G1551" i="1"/>
  <c r="A1551" i="1"/>
  <c r="B1551" i="1"/>
  <c r="H1551" i="1"/>
  <c r="I1551" i="1"/>
  <c r="D2627" i="1"/>
  <c r="E2627" i="1"/>
  <c r="F2627" i="1"/>
  <c r="G2627" i="1"/>
  <c r="A2627" i="1"/>
  <c r="B2627" i="1"/>
  <c r="H2627" i="1"/>
  <c r="I2627" i="1"/>
  <c r="D1734" i="1"/>
  <c r="E1734" i="1"/>
  <c r="F1734" i="1"/>
  <c r="G1734" i="1"/>
  <c r="A1734" i="1"/>
  <c r="B1734" i="1"/>
  <c r="H1734" i="1"/>
  <c r="I1734" i="1"/>
  <c r="D2628" i="1"/>
  <c r="E2628" i="1"/>
  <c r="F2628" i="1"/>
  <c r="G2628" i="1"/>
  <c r="A2628" i="1"/>
  <c r="B2628" i="1"/>
  <c r="H2628" i="1"/>
  <c r="I2628" i="1"/>
  <c r="D310" i="1"/>
  <c r="E310" i="1"/>
  <c r="F310" i="1"/>
  <c r="G310" i="1"/>
  <c r="A310" i="1"/>
  <c r="B310" i="1"/>
  <c r="H310" i="1"/>
  <c r="I310" i="1"/>
  <c r="D312" i="1"/>
  <c r="E312" i="1"/>
  <c r="F312" i="1"/>
  <c r="G312" i="1"/>
  <c r="A312" i="1"/>
  <c r="B312" i="1"/>
  <c r="H312" i="1"/>
  <c r="I312" i="1"/>
  <c r="D1764" i="1"/>
  <c r="E1764" i="1"/>
  <c r="F1764" i="1"/>
  <c r="G1764" i="1"/>
  <c r="A1764" i="1"/>
  <c r="B1764" i="1"/>
  <c r="H1764" i="1"/>
  <c r="I1764" i="1"/>
  <c r="D2872" i="1"/>
  <c r="E2872" i="1"/>
  <c r="F2872" i="1"/>
  <c r="G2872" i="1"/>
  <c r="A2872" i="1"/>
  <c r="B2872" i="1"/>
  <c r="H2872" i="1"/>
  <c r="I2872" i="1"/>
  <c r="D1770" i="1"/>
  <c r="E1770" i="1"/>
  <c r="F1770" i="1"/>
  <c r="G1770" i="1"/>
  <c r="A1770" i="1"/>
  <c r="B1770" i="1"/>
  <c r="H1770" i="1"/>
  <c r="I1770" i="1"/>
  <c r="D1771" i="1"/>
  <c r="E1771" i="1"/>
  <c r="F1771" i="1"/>
  <c r="G1771" i="1"/>
  <c r="A1771" i="1"/>
  <c r="B1771" i="1"/>
  <c r="H1771" i="1"/>
  <c r="I1771" i="1"/>
  <c r="D1762" i="1"/>
  <c r="E1762" i="1"/>
  <c r="F1762" i="1"/>
  <c r="G1762" i="1"/>
  <c r="A1762" i="1"/>
  <c r="B1762" i="1"/>
  <c r="H1762" i="1"/>
  <c r="I1762" i="1"/>
  <c r="D1772" i="1"/>
  <c r="E1772" i="1"/>
  <c r="F1772" i="1"/>
  <c r="G1772" i="1"/>
  <c r="A1772" i="1"/>
  <c r="B1772" i="1"/>
  <c r="H1772" i="1"/>
  <c r="I1772" i="1"/>
  <c r="D1765" i="1"/>
  <c r="E1765" i="1"/>
  <c r="F1765" i="1"/>
  <c r="G1765" i="1"/>
  <c r="A1765" i="1"/>
  <c r="B1765" i="1"/>
  <c r="H1765" i="1"/>
  <c r="I1765" i="1"/>
  <c r="D1757" i="1"/>
  <c r="E1757" i="1"/>
  <c r="F1757" i="1"/>
  <c r="G1757" i="1"/>
  <c r="A1757" i="1"/>
  <c r="B1757" i="1"/>
  <c r="H1757" i="1"/>
  <c r="I1757" i="1"/>
  <c r="D1756" i="1"/>
  <c r="E1756" i="1"/>
  <c r="F1756" i="1"/>
  <c r="G1756" i="1"/>
  <c r="A1756" i="1"/>
  <c r="B1756" i="1"/>
  <c r="H1756" i="1"/>
  <c r="I1756" i="1"/>
  <c r="D2874" i="1"/>
  <c r="E2874" i="1"/>
  <c r="F2874" i="1"/>
  <c r="G2874" i="1"/>
  <c r="A2874" i="1"/>
  <c r="B2874" i="1"/>
  <c r="H2874" i="1"/>
  <c r="I2874" i="1"/>
  <c r="D1755" i="1"/>
  <c r="E1755" i="1"/>
  <c r="F1755" i="1"/>
  <c r="G1755" i="1"/>
  <c r="A1755" i="1"/>
  <c r="B1755" i="1"/>
  <c r="H1755" i="1"/>
  <c r="I1755" i="1"/>
  <c r="D1766" i="1"/>
  <c r="E1766" i="1"/>
  <c r="F1766" i="1"/>
  <c r="G1766" i="1"/>
  <c r="A1766" i="1"/>
  <c r="B1766" i="1"/>
  <c r="H1766" i="1"/>
  <c r="I1766" i="1"/>
  <c r="D1767" i="1"/>
  <c r="E1767" i="1"/>
  <c r="F1767" i="1"/>
  <c r="G1767" i="1"/>
  <c r="A1767" i="1"/>
  <c r="B1767" i="1"/>
  <c r="H1767" i="1"/>
  <c r="I1767" i="1"/>
  <c r="D1768" i="1"/>
  <c r="E1768" i="1"/>
  <c r="F1768" i="1"/>
  <c r="G1768" i="1"/>
  <c r="A1768" i="1"/>
  <c r="B1768" i="1"/>
  <c r="H1768" i="1"/>
  <c r="I1768" i="1"/>
  <c r="D1769" i="1"/>
  <c r="E1769" i="1"/>
  <c r="F1769" i="1"/>
  <c r="G1769" i="1"/>
  <c r="A1769" i="1"/>
  <c r="B1769" i="1"/>
  <c r="H1769" i="1"/>
  <c r="I1769" i="1"/>
  <c r="D1761" i="1"/>
  <c r="E1761" i="1"/>
  <c r="F1761" i="1"/>
  <c r="G1761" i="1"/>
  <c r="A1761" i="1"/>
  <c r="B1761" i="1"/>
  <c r="H1761" i="1"/>
  <c r="I1761" i="1"/>
  <c r="D2873" i="1"/>
  <c r="E2873" i="1"/>
  <c r="F2873" i="1"/>
  <c r="G2873" i="1"/>
  <c r="A2873" i="1"/>
  <c r="B2873" i="1"/>
  <c r="H2873" i="1"/>
  <c r="I2873" i="1"/>
  <c r="D311" i="1"/>
  <c r="E311" i="1"/>
  <c r="F311" i="1"/>
  <c r="G311" i="1"/>
  <c r="A311" i="1"/>
  <c r="B311" i="1"/>
  <c r="H311" i="1"/>
  <c r="I311" i="1"/>
  <c r="D1758" i="1"/>
  <c r="E1758" i="1"/>
  <c r="F1758" i="1"/>
  <c r="G1758" i="1"/>
  <c r="A1758" i="1"/>
  <c r="B1758" i="1"/>
  <c r="H1758" i="1"/>
  <c r="I1758" i="1"/>
  <c r="D1759" i="1"/>
  <c r="E1759" i="1"/>
  <c r="F1759" i="1"/>
  <c r="G1759" i="1"/>
  <c r="A1759" i="1"/>
  <c r="B1759" i="1"/>
  <c r="H1759" i="1"/>
  <c r="I1759" i="1"/>
  <c r="D1760" i="1"/>
  <c r="E1760" i="1"/>
  <c r="F1760" i="1"/>
  <c r="G1760" i="1"/>
  <c r="A1760" i="1"/>
  <c r="B1760" i="1"/>
  <c r="H1760" i="1"/>
  <c r="I1760" i="1"/>
  <c r="D1763" i="1"/>
  <c r="E1763" i="1"/>
  <c r="F1763" i="1"/>
  <c r="G1763" i="1"/>
  <c r="A1763" i="1"/>
  <c r="B1763" i="1"/>
  <c r="H1763" i="1"/>
  <c r="I1763" i="1"/>
  <c r="D313" i="1"/>
  <c r="E313" i="1"/>
  <c r="F313" i="1"/>
  <c r="G313" i="1"/>
  <c r="A313" i="1"/>
  <c r="B313" i="1"/>
  <c r="H313" i="1"/>
  <c r="I313" i="1"/>
  <c r="D3200" i="1"/>
  <c r="E3200" i="1"/>
  <c r="F3200" i="1"/>
  <c r="G3200" i="1"/>
  <c r="A3200" i="1"/>
  <c r="B3200" i="1"/>
  <c r="H3200" i="1"/>
  <c r="I3200" i="1"/>
  <c r="D1809" i="1"/>
  <c r="E1809" i="1"/>
  <c r="F1809" i="1"/>
  <c r="G1809" i="1"/>
  <c r="A1809" i="1"/>
  <c r="B1809" i="1"/>
  <c r="H1809" i="1"/>
  <c r="I1809" i="1"/>
  <c r="D1812" i="1"/>
  <c r="E1812" i="1"/>
  <c r="F1812" i="1"/>
  <c r="G1812" i="1"/>
  <c r="A1812" i="1"/>
  <c r="B1812" i="1"/>
  <c r="H1812" i="1"/>
  <c r="I1812" i="1"/>
  <c r="D447" i="1"/>
  <c r="E447" i="1"/>
  <c r="F447" i="1"/>
  <c r="G447" i="1"/>
  <c r="A447" i="1"/>
  <c r="B447" i="1"/>
  <c r="H447" i="1"/>
  <c r="I447" i="1"/>
  <c r="D275" i="1"/>
  <c r="E275" i="1"/>
  <c r="F275" i="1"/>
  <c r="G275" i="1"/>
  <c r="A275" i="1"/>
  <c r="B275" i="1"/>
  <c r="H275" i="1"/>
  <c r="I275" i="1"/>
  <c r="D276" i="1"/>
  <c r="E276" i="1"/>
  <c r="F276" i="1"/>
  <c r="G276" i="1"/>
  <c r="A276" i="1"/>
  <c r="B276" i="1"/>
  <c r="H276" i="1"/>
  <c r="I276" i="1"/>
  <c r="D1810" i="1"/>
  <c r="E1810" i="1"/>
  <c r="F1810" i="1"/>
  <c r="G1810" i="1"/>
  <c r="A1810" i="1"/>
  <c r="B1810" i="1"/>
  <c r="H1810" i="1"/>
  <c r="I1810" i="1"/>
  <c r="D3168" i="1"/>
  <c r="E3168" i="1"/>
  <c r="F3168" i="1"/>
  <c r="G3168" i="1"/>
  <c r="A3168" i="1"/>
  <c r="B3168" i="1"/>
  <c r="H3168" i="1"/>
  <c r="I3168" i="1"/>
  <c r="D1811" i="1"/>
  <c r="E1811" i="1"/>
  <c r="F1811" i="1"/>
  <c r="G1811" i="1"/>
  <c r="A1811" i="1"/>
  <c r="B1811" i="1"/>
  <c r="H1811" i="1"/>
  <c r="I1811" i="1"/>
  <c r="D1813" i="1"/>
  <c r="E1813" i="1"/>
  <c r="F1813" i="1"/>
  <c r="G1813" i="1"/>
  <c r="A1813" i="1"/>
  <c r="B1813" i="1"/>
  <c r="H1813" i="1"/>
  <c r="I1813" i="1"/>
  <c r="D448" i="1"/>
  <c r="E448" i="1"/>
  <c r="F448" i="1"/>
  <c r="G448" i="1"/>
  <c r="A448" i="1"/>
  <c r="B448" i="1"/>
  <c r="H448" i="1"/>
  <c r="I448" i="1"/>
  <c r="D480" i="1"/>
  <c r="E480" i="1"/>
  <c r="F480" i="1"/>
  <c r="G480" i="1"/>
  <c r="A480" i="1"/>
  <c r="B480" i="1"/>
  <c r="H480" i="1"/>
  <c r="I480" i="1"/>
  <c r="D1837" i="1"/>
  <c r="E1837" i="1"/>
  <c r="F1837" i="1"/>
  <c r="G1837" i="1"/>
  <c r="A1837" i="1"/>
  <c r="B1837" i="1"/>
  <c r="H1837" i="1"/>
  <c r="I1837" i="1"/>
  <c r="D2773" i="1"/>
  <c r="E2773" i="1"/>
  <c r="F2773" i="1"/>
  <c r="G2773" i="1"/>
  <c r="A2773" i="1"/>
  <c r="B2773" i="1"/>
  <c r="H2773" i="1"/>
  <c r="I2773" i="1"/>
  <c r="D2774" i="1"/>
  <c r="E2774" i="1"/>
  <c r="F2774" i="1"/>
  <c r="G2774" i="1"/>
  <c r="A2774" i="1"/>
  <c r="B2774" i="1"/>
  <c r="H2774" i="1"/>
  <c r="I2774" i="1"/>
  <c r="D2719" i="1"/>
  <c r="E2719" i="1"/>
  <c r="F2719" i="1"/>
  <c r="G2719" i="1"/>
  <c r="A2719" i="1"/>
  <c r="B2719" i="1"/>
  <c r="H2719" i="1"/>
  <c r="I2719" i="1"/>
  <c r="D2800" i="1"/>
  <c r="E2800" i="1"/>
  <c r="F2800" i="1"/>
  <c r="G2800" i="1"/>
  <c r="A2800" i="1"/>
  <c r="B2800" i="1"/>
  <c r="H2800" i="1"/>
  <c r="I2800" i="1"/>
  <c r="D2531" i="1"/>
  <c r="E2531" i="1"/>
  <c r="F2531" i="1"/>
  <c r="G2531" i="1"/>
  <c r="A2531" i="1"/>
  <c r="B2531" i="1"/>
  <c r="H2531" i="1"/>
  <c r="I2531" i="1"/>
  <c r="D2721" i="1"/>
  <c r="E2721" i="1"/>
  <c r="F2721" i="1"/>
  <c r="G2721" i="1"/>
  <c r="A2721" i="1"/>
  <c r="B2721" i="1"/>
  <c r="H2721" i="1"/>
  <c r="I2721" i="1"/>
  <c r="D2720" i="1"/>
  <c r="E2720" i="1"/>
  <c r="F2720" i="1"/>
  <c r="G2720" i="1"/>
  <c r="A2720" i="1"/>
  <c r="B2720" i="1"/>
  <c r="H2720" i="1"/>
  <c r="I2720" i="1"/>
  <c r="D2517" i="1"/>
  <c r="E2517" i="1"/>
  <c r="F2517" i="1"/>
  <c r="G2517" i="1"/>
  <c r="A2517" i="1"/>
  <c r="B2517" i="1"/>
  <c r="H2517" i="1"/>
  <c r="I2517" i="1"/>
  <c r="D208" i="1"/>
  <c r="E208" i="1"/>
  <c r="F208" i="1"/>
  <c r="G208" i="1"/>
  <c r="A208" i="1"/>
  <c r="B208" i="1"/>
  <c r="H208" i="1"/>
  <c r="I208" i="1"/>
  <c r="D2611" i="1"/>
  <c r="E2611" i="1"/>
  <c r="F2611" i="1"/>
  <c r="G2611" i="1"/>
  <c r="A2611" i="1"/>
  <c r="B2611" i="1"/>
  <c r="H2611" i="1"/>
  <c r="I2611" i="1"/>
  <c r="D2612" i="1"/>
  <c r="E2612" i="1"/>
  <c r="F2612" i="1"/>
  <c r="G2612" i="1"/>
  <c r="A2612" i="1"/>
  <c r="B2612" i="1"/>
  <c r="H2612" i="1"/>
  <c r="I2612" i="1"/>
  <c r="D200" i="1"/>
  <c r="E200" i="1"/>
  <c r="F200" i="1"/>
  <c r="G200" i="1"/>
  <c r="A200" i="1"/>
  <c r="B200" i="1"/>
  <c r="H200" i="1"/>
  <c r="I200" i="1"/>
  <c r="D203" i="1"/>
  <c r="E203" i="1"/>
  <c r="F203" i="1"/>
  <c r="G203" i="1"/>
  <c r="A203" i="1"/>
  <c r="B203" i="1"/>
  <c r="H203" i="1"/>
  <c r="I203" i="1"/>
  <c r="D1973" i="1"/>
  <c r="E1973" i="1"/>
  <c r="F1973" i="1"/>
  <c r="G1973" i="1"/>
  <c r="A1973" i="1"/>
  <c r="B1973" i="1"/>
  <c r="H1973" i="1"/>
  <c r="I1973" i="1"/>
  <c r="D2850" i="1"/>
  <c r="E2850" i="1"/>
  <c r="F2850" i="1"/>
  <c r="G2850" i="1"/>
  <c r="A2850" i="1"/>
  <c r="B2850" i="1"/>
  <c r="H2850" i="1"/>
  <c r="I2850" i="1"/>
  <c r="D1970" i="1"/>
  <c r="E1970" i="1"/>
  <c r="F1970" i="1"/>
  <c r="G1970" i="1"/>
  <c r="A1970" i="1"/>
  <c r="B1970" i="1"/>
  <c r="H1970" i="1"/>
  <c r="I1970" i="1"/>
  <c r="D2610" i="1"/>
  <c r="E2610" i="1"/>
  <c r="F2610" i="1"/>
  <c r="G2610" i="1"/>
  <c r="A2610" i="1"/>
  <c r="B2610" i="1"/>
  <c r="H2610" i="1"/>
  <c r="I2610" i="1"/>
  <c r="D202" i="1"/>
  <c r="E202" i="1"/>
  <c r="F202" i="1"/>
  <c r="G202" i="1"/>
  <c r="A202" i="1"/>
  <c r="B202" i="1"/>
  <c r="H202" i="1"/>
  <c r="I202" i="1"/>
  <c r="D201" i="1"/>
  <c r="E201" i="1"/>
  <c r="F201" i="1"/>
  <c r="G201" i="1"/>
  <c r="A201" i="1"/>
  <c r="B201" i="1"/>
  <c r="H201" i="1"/>
  <c r="I201" i="1"/>
  <c r="D1971" i="1"/>
  <c r="E1971" i="1"/>
  <c r="F1971" i="1"/>
  <c r="G1971" i="1"/>
  <c r="A1971" i="1"/>
  <c r="B1971" i="1"/>
  <c r="H1971" i="1"/>
  <c r="I1971" i="1"/>
  <c r="D204" i="1"/>
  <c r="E204" i="1"/>
  <c r="F204" i="1"/>
  <c r="G204" i="1"/>
  <c r="A204" i="1"/>
  <c r="B204" i="1"/>
  <c r="H204" i="1"/>
  <c r="I204" i="1"/>
  <c r="D206" i="1"/>
  <c r="E206" i="1"/>
  <c r="F206" i="1"/>
  <c r="G206" i="1"/>
  <c r="A206" i="1"/>
  <c r="B206" i="1"/>
  <c r="H206" i="1"/>
  <c r="I206" i="1"/>
  <c r="D199" i="1"/>
  <c r="E199" i="1"/>
  <c r="F199" i="1"/>
  <c r="G199" i="1"/>
  <c r="A199" i="1"/>
  <c r="B199" i="1"/>
  <c r="H199" i="1"/>
  <c r="I199" i="1"/>
  <c r="D1972" i="1"/>
  <c r="E1972" i="1"/>
  <c r="F1972" i="1"/>
  <c r="G1972" i="1"/>
  <c r="A1972" i="1"/>
  <c r="B1972" i="1"/>
  <c r="H1972" i="1"/>
  <c r="I1972" i="1"/>
  <c r="D2851" i="1"/>
  <c r="E2851" i="1"/>
  <c r="F2851" i="1"/>
  <c r="G2851" i="1"/>
  <c r="A2851" i="1"/>
  <c r="B2851" i="1"/>
  <c r="H2851" i="1"/>
  <c r="I2851" i="1"/>
  <c r="D2209" i="1"/>
  <c r="E2209" i="1"/>
  <c r="F2209" i="1"/>
  <c r="G2209" i="1"/>
  <c r="A2209" i="1"/>
  <c r="B2209" i="1"/>
  <c r="H2209" i="1"/>
  <c r="I2209" i="1"/>
  <c r="D2516" i="1"/>
  <c r="E2516" i="1"/>
  <c r="F2516" i="1"/>
  <c r="G2516" i="1"/>
  <c r="A2516" i="1"/>
  <c r="B2516" i="1"/>
  <c r="H2516" i="1"/>
  <c r="I2516" i="1"/>
  <c r="D2818" i="1"/>
  <c r="E2818" i="1"/>
  <c r="F2818" i="1"/>
  <c r="G2818" i="1"/>
  <c r="A2818" i="1"/>
  <c r="B2818" i="1"/>
  <c r="H2818" i="1"/>
  <c r="I2818" i="1"/>
  <c r="D2902" i="1"/>
  <c r="E2902" i="1"/>
  <c r="F2902" i="1"/>
  <c r="G2902" i="1"/>
  <c r="A2902" i="1"/>
  <c r="B2902" i="1"/>
  <c r="H2902" i="1"/>
  <c r="I2902" i="1"/>
  <c r="D198" i="1"/>
  <c r="E198" i="1"/>
  <c r="F198" i="1"/>
  <c r="G198" i="1"/>
  <c r="A198" i="1"/>
  <c r="B198" i="1"/>
  <c r="H198" i="1"/>
  <c r="I198" i="1"/>
  <c r="D1974" i="1"/>
  <c r="E1974" i="1"/>
  <c r="F1974" i="1"/>
  <c r="G1974" i="1"/>
  <c r="A1974" i="1"/>
  <c r="B1974" i="1"/>
  <c r="H1974" i="1"/>
  <c r="I1974" i="1"/>
  <c r="D205" i="1"/>
  <c r="E205" i="1"/>
  <c r="F205" i="1"/>
  <c r="G205" i="1"/>
  <c r="A205" i="1"/>
  <c r="B205" i="1"/>
  <c r="H205" i="1"/>
  <c r="I205" i="1"/>
  <c r="D207" i="1"/>
  <c r="E207" i="1"/>
  <c r="F207" i="1"/>
  <c r="G207" i="1"/>
  <c r="A207" i="1"/>
  <c r="B207" i="1"/>
  <c r="H207" i="1"/>
  <c r="I207" i="1"/>
  <c r="D209" i="1"/>
  <c r="E209" i="1"/>
  <c r="F209" i="1"/>
  <c r="G209" i="1"/>
  <c r="A209" i="1"/>
  <c r="B209" i="1"/>
  <c r="H209" i="1"/>
  <c r="I209" i="1"/>
  <c r="D197" i="1"/>
  <c r="E197" i="1"/>
  <c r="F197" i="1"/>
  <c r="G197" i="1"/>
  <c r="A197" i="1"/>
  <c r="B197" i="1"/>
  <c r="H197" i="1"/>
  <c r="I197" i="1"/>
  <c r="D765" i="1"/>
  <c r="E765" i="1"/>
  <c r="F765" i="1"/>
  <c r="G765" i="1"/>
  <c r="A765" i="1"/>
  <c r="B765" i="1"/>
  <c r="H765" i="1"/>
  <c r="I765" i="1"/>
  <c r="D1978" i="1"/>
  <c r="E1978" i="1"/>
  <c r="F1978" i="1"/>
  <c r="G1978" i="1"/>
  <c r="A1978" i="1"/>
  <c r="B1978" i="1"/>
  <c r="H1978" i="1"/>
  <c r="I1978" i="1"/>
  <c r="D1779" i="1"/>
  <c r="E1779" i="1"/>
  <c r="F1779" i="1"/>
  <c r="G1779" i="1"/>
  <c r="A1779" i="1"/>
  <c r="B1779" i="1"/>
  <c r="H1779" i="1"/>
  <c r="I1779" i="1"/>
  <c r="D1336" i="1"/>
  <c r="E1336" i="1"/>
  <c r="F1336" i="1"/>
  <c r="G1336" i="1"/>
  <c r="A1336" i="1"/>
  <c r="B1336" i="1"/>
  <c r="H1336" i="1"/>
  <c r="I1336" i="1"/>
  <c r="D1333" i="1"/>
  <c r="E1333" i="1"/>
  <c r="F1333" i="1"/>
  <c r="G1333" i="1"/>
  <c r="A1333" i="1"/>
  <c r="B1333" i="1"/>
  <c r="H1333" i="1"/>
  <c r="I1333" i="1"/>
  <c r="D1977" i="1"/>
  <c r="E1977" i="1"/>
  <c r="F1977" i="1"/>
  <c r="G1977" i="1"/>
  <c r="A1977" i="1"/>
  <c r="B1977" i="1"/>
  <c r="H1977" i="1"/>
  <c r="I1977" i="1"/>
  <c r="D2822" i="1"/>
  <c r="E2822" i="1"/>
  <c r="F2822" i="1"/>
  <c r="G2822" i="1"/>
  <c r="A2822" i="1"/>
  <c r="B2822" i="1"/>
  <c r="H2822" i="1"/>
  <c r="I2822" i="1"/>
  <c r="D1774" i="1"/>
  <c r="E1774" i="1"/>
  <c r="F1774" i="1"/>
  <c r="G1774" i="1"/>
  <c r="A1774" i="1"/>
  <c r="B1774" i="1"/>
  <c r="H1774" i="1"/>
  <c r="I1774" i="1"/>
  <c r="D1334" i="1"/>
  <c r="E1334" i="1"/>
  <c r="F1334" i="1"/>
  <c r="G1334" i="1"/>
  <c r="A1334" i="1"/>
  <c r="B1334" i="1"/>
  <c r="H1334" i="1"/>
  <c r="I1334" i="1"/>
  <c r="D1335" i="1"/>
  <c r="E1335" i="1"/>
  <c r="F1335" i="1"/>
  <c r="G1335" i="1"/>
  <c r="A1335" i="1"/>
  <c r="B1335" i="1"/>
  <c r="H1335" i="1"/>
  <c r="I1335" i="1"/>
  <c r="D1976" i="1"/>
  <c r="E1976" i="1"/>
  <c r="F1976" i="1"/>
  <c r="G1976" i="1"/>
  <c r="A1976" i="1"/>
  <c r="B1976" i="1"/>
  <c r="H1976" i="1"/>
  <c r="I1976" i="1"/>
  <c r="D1975" i="1"/>
  <c r="E1975" i="1"/>
  <c r="F1975" i="1"/>
  <c r="G1975" i="1"/>
  <c r="A1975" i="1"/>
  <c r="B1975" i="1"/>
  <c r="H1975" i="1"/>
  <c r="I1975" i="1"/>
  <c r="D2665" i="1"/>
  <c r="E2665" i="1"/>
  <c r="F2665" i="1"/>
  <c r="G2665" i="1"/>
  <c r="A2665" i="1"/>
  <c r="B2665" i="1"/>
  <c r="H2665" i="1"/>
  <c r="I2665" i="1"/>
  <c r="D1332" i="1"/>
  <c r="E1332" i="1"/>
  <c r="F1332" i="1"/>
  <c r="G1332" i="1"/>
  <c r="A1332" i="1"/>
  <c r="B1332" i="1"/>
  <c r="H1332" i="1"/>
  <c r="I1332" i="1"/>
  <c r="D2666" i="1"/>
  <c r="E2666" i="1"/>
  <c r="F2666" i="1"/>
  <c r="G2666" i="1"/>
  <c r="A2666" i="1"/>
  <c r="B2666" i="1"/>
  <c r="H2666" i="1"/>
  <c r="I2666" i="1"/>
  <c r="D763" i="1"/>
  <c r="E763" i="1"/>
  <c r="F763" i="1"/>
  <c r="G763" i="1"/>
  <c r="A763" i="1"/>
  <c r="B763" i="1"/>
  <c r="H763" i="1"/>
  <c r="I763" i="1"/>
  <c r="D764" i="1"/>
  <c r="E764" i="1"/>
  <c r="F764" i="1"/>
  <c r="G764" i="1"/>
  <c r="A764" i="1"/>
  <c r="B764" i="1"/>
  <c r="H764" i="1"/>
  <c r="I764" i="1"/>
  <c r="D3198" i="1"/>
  <c r="E3198" i="1"/>
  <c r="F3198" i="1"/>
  <c r="G3198" i="1"/>
  <c r="A3198" i="1"/>
  <c r="B3198" i="1"/>
  <c r="H3198" i="1"/>
  <c r="I3198" i="1"/>
  <c r="D3199" i="1"/>
  <c r="E3199" i="1"/>
  <c r="F3199" i="1"/>
  <c r="G3199" i="1"/>
  <c r="A3199" i="1"/>
  <c r="B3199" i="1"/>
  <c r="H3199" i="1"/>
  <c r="I3199" i="1"/>
  <c r="D2002" i="1"/>
  <c r="E2002" i="1"/>
  <c r="F2002" i="1"/>
  <c r="G2002" i="1"/>
  <c r="A2002" i="1"/>
  <c r="B2002" i="1"/>
  <c r="H2002" i="1"/>
  <c r="I2002" i="1"/>
  <c r="D2658" i="1"/>
  <c r="E2658" i="1"/>
  <c r="F2658" i="1"/>
  <c r="G2658" i="1"/>
  <c r="A2658" i="1"/>
  <c r="B2658" i="1"/>
  <c r="H2658" i="1"/>
  <c r="I2658" i="1"/>
  <c r="D716" i="1"/>
  <c r="E716" i="1"/>
  <c r="F716" i="1"/>
  <c r="G716" i="1"/>
  <c r="A716" i="1"/>
  <c r="B716" i="1"/>
  <c r="H716" i="1"/>
  <c r="I716" i="1"/>
  <c r="D2015" i="1"/>
  <c r="E2015" i="1"/>
  <c r="F2015" i="1"/>
  <c r="G2015" i="1"/>
  <c r="A2015" i="1"/>
  <c r="B2015" i="1"/>
  <c r="H2015" i="1"/>
  <c r="I2015" i="1"/>
  <c r="D2016" i="1"/>
  <c r="E2016" i="1"/>
  <c r="F2016" i="1"/>
  <c r="G2016" i="1"/>
  <c r="A2016" i="1"/>
  <c r="B2016" i="1"/>
  <c r="H2016" i="1"/>
  <c r="I2016" i="1"/>
  <c r="D1073" i="1"/>
  <c r="E1073" i="1"/>
  <c r="F1073" i="1"/>
  <c r="G1073" i="1"/>
  <c r="A1073" i="1"/>
  <c r="B1073" i="1"/>
  <c r="H1073" i="1"/>
  <c r="I1073" i="1"/>
  <c r="D3357" i="1"/>
  <c r="E3357" i="1"/>
  <c r="F3357" i="1"/>
  <c r="G3357" i="1"/>
  <c r="A3357" i="1"/>
  <c r="B3357" i="1"/>
  <c r="H3357" i="1"/>
  <c r="I3357" i="1"/>
  <c r="D2019" i="1"/>
  <c r="E2019" i="1"/>
  <c r="F2019" i="1"/>
  <c r="G2019" i="1"/>
  <c r="A2019" i="1"/>
  <c r="B2019" i="1"/>
  <c r="H2019" i="1"/>
  <c r="I2019" i="1"/>
  <c r="D3308" i="1"/>
  <c r="E3308" i="1"/>
  <c r="F3308" i="1"/>
  <c r="G3308" i="1"/>
  <c r="A3308" i="1"/>
  <c r="B3308" i="1"/>
  <c r="H3308" i="1"/>
  <c r="I3308" i="1"/>
  <c r="D1995" i="1"/>
  <c r="E1995" i="1"/>
  <c r="F1995" i="1"/>
  <c r="G1995" i="1"/>
  <c r="A1995" i="1"/>
  <c r="B1995" i="1"/>
  <c r="H1995" i="1"/>
  <c r="I1995" i="1"/>
  <c r="D2683" i="1"/>
  <c r="E2683" i="1"/>
  <c r="F2683" i="1"/>
  <c r="G2683" i="1"/>
  <c r="A2683" i="1"/>
  <c r="B2683" i="1"/>
  <c r="H2683" i="1"/>
  <c r="I2683" i="1"/>
  <c r="D1416" i="1"/>
  <c r="E1416" i="1"/>
  <c r="F1416" i="1"/>
  <c r="G1416" i="1"/>
  <c r="A1416" i="1"/>
  <c r="B1416" i="1"/>
  <c r="H1416" i="1"/>
  <c r="I1416" i="1"/>
  <c r="D723" i="1"/>
  <c r="E723" i="1"/>
  <c r="F723" i="1"/>
  <c r="G723" i="1"/>
  <c r="A723" i="1"/>
  <c r="B723" i="1"/>
  <c r="H723" i="1"/>
  <c r="I723" i="1"/>
  <c r="D2025" i="1"/>
  <c r="E2025" i="1"/>
  <c r="F2025" i="1"/>
  <c r="G2025" i="1"/>
  <c r="A2025" i="1"/>
  <c r="B2025" i="1"/>
  <c r="H2025" i="1"/>
  <c r="I2025" i="1"/>
  <c r="D2579" i="1"/>
  <c r="E2579" i="1"/>
  <c r="F2579" i="1"/>
  <c r="G2579" i="1"/>
  <c r="A2579" i="1"/>
  <c r="B2579" i="1"/>
  <c r="H2579" i="1"/>
  <c r="I2579" i="1"/>
  <c r="D1405" i="1"/>
  <c r="E1405" i="1"/>
  <c r="F1405" i="1"/>
  <c r="G1405" i="1"/>
  <c r="A1405" i="1"/>
  <c r="B1405" i="1"/>
  <c r="H1405" i="1"/>
  <c r="I1405" i="1"/>
  <c r="D1235" i="1"/>
  <c r="E1235" i="1"/>
  <c r="F1235" i="1"/>
  <c r="G1235" i="1"/>
  <c r="A1235" i="1"/>
  <c r="B1235" i="1"/>
  <c r="H1235" i="1"/>
  <c r="I1235" i="1"/>
  <c r="D2014" i="1"/>
  <c r="E2014" i="1"/>
  <c r="F2014" i="1"/>
  <c r="G2014" i="1"/>
  <c r="A2014" i="1"/>
  <c r="B2014" i="1"/>
  <c r="H2014" i="1"/>
  <c r="I2014" i="1"/>
  <c r="D1420" i="1"/>
  <c r="E1420" i="1"/>
  <c r="F1420" i="1"/>
  <c r="G1420" i="1"/>
  <c r="A1420" i="1"/>
  <c r="B1420" i="1"/>
  <c r="H1420" i="1"/>
  <c r="I1420" i="1"/>
  <c r="D2004" i="1"/>
  <c r="E2004" i="1"/>
  <c r="F2004" i="1"/>
  <c r="G2004" i="1"/>
  <c r="A2004" i="1"/>
  <c r="B2004" i="1"/>
  <c r="H2004" i="1"/>
  <c r="I2004" i="1"/>
  <c r="D2005" i="1"/>
  <c r="E2005" i="1"/>
  <c r="F2005" i="1"/>
  <c r="G2005" i="1"/>
  <c r="A2005" i="1"/>
  <c r="B2005" i="1"/>
  <c r="H2005" i="1"/>
  <c r="I2005" i="1"/>
  <c r="D2007" i="1"/>
  <c r="E2007" i="1"/>
  <c r="F2007" i="1"/>
  <c r="G2007" i="1"/>
  <c r="A2007" i="1"/>
  <c r="B2007" i="1"/>
  <c r="H2007" i="1"/>
  <c r="I2007" i="1"/>
  <c r="D2635" i="1"/>
  <c r="E2635" i="1"/>
  <c r="F2635" i="1"/>
  <c r="G2635" i="1"/>
  <c r="A2635" i="1"/>
  <c r="B2635" i="1"/>
  <c r="H2635" i="1"/>
  <c r="I2635" i="1"/>
  <c r="D2894" i="1"/>
  <c r="E2894" i="1"/>
  <c r="F2894" i="1"/>
  <c r="G2894" i="1"/>
  <c r="A2894" i="1"/>
  <c r="B2894" i="1"/>
  <c r="H2894" i="1"/>
  <c r="I2894" i="1"/>
  <c r="D1419" i="1"/>
  <c r="E1419" i="1"/>
  <c r="F1419" i="1"/>
  <c r="G1419" i="1"/>
  <c r="A1419" i="1"/>
  <c r="B1419" i="1"/>
  <c r="H1419" i="1"/>
  <c r="I1419" i="1"/>
  <c r="D2840" i="1"/>
  <c r="E2840" i="1"/>
  <c r="F2840" i="1"/>
  <c r="G2840" i="1"/>
  <c r="A2840" i="1"/>
  <c r="B2840" i="1"/>
  <c r="H2840" i="1"/>
  <c r="I2840" i="1"/>
  <c r="D1071" i="1"/>
  <c r="E1071" i="1"/>
  <c r="F1071" i="1"/>
  <c r="G1071" i="1"/>
  <c r="A1071" i="1"/>
  <c r="B1071" i="1"/>
  <c r="H1071" i="1"/>
  <c r="I1071" i="1"/>
  <c r="D2000" i="1"/>
  <c r="E2000" i="1"/>
  <c r="F2000" i="1"/>
  <c r="G2000" i="1"/>
  <c r="A2000" i="1"/>
  <c r="B2000" i="1"/>
  <c r="H2000" i="1"/>
  <c r="I2000" i="1"/>
  <c r="D1407" i="1"/>
  <c r="E1407" i="1"/>
  <c r="F1407" i="1"/>
  <c r="G1407" i="1"/>
  <c r="A1407" i="1"/>
  <c r="B1407" i="1"/>
  <c r="H1407" i="1"/>
  <c r="I1407" i="1"/>
  <c r="D1408" i="1"/>
  <c r="E1408" i="1"/>
  <c r="F1408" i="1"/>
  <c r="G1408" i="1"/>
  <c r="A1408" i="1"/>
  <c r="B1408" i="1"/>
  <c r="H1408" i="1"/>
  <c r="I1408" i="1"/>
  <c r="D1409" i="1"/>
  <c r="E1409" i="1"/>
  <c r="F1409" i="1"/>
  <c r="G1409" i="1"/>
  <c r="A1409" i="1"/>
  <c r="B1409" i="1"/>
  <c r="H1409" i="1"/>
  <c r="I1409" i="1"/>
  <c r="D1410" i="1"/>
  <c r="E1410" i="1"/>
  <c r="F1410" i="1"/>
  <c r="G1410" i="1"/>
  <c r="A1410" i="1"/>
  <c r="B1410" i="1"/>
  <c r="H1410" i="1"/>
  <c r="I1410" i="1"/>
  <c r="D2012" i="1"/>
  <c r="E2012" i="1"/>
  <c r="F2012" i="1"/>
  <c r="G2012" i="1"/>
  <c r="A2012" i="1"/>
  <c r="B2012" i="1"/>
  <c r="H2012" i="1"/>
  <c r="I2012" i="1"/>
  <c r="D2013" i="1"/>
  <c r="E2013" i="1"/>
  <c r="F2013" i="1"/>
  <c r="G2013" i="1"/>
  <c r="A2013" i="1"/>
  <c r="B2013" i="1"/>
  <c r="H2013" i="1"/>
  <c r="I2013" i="1"/>
  <c r="D2028" i="1"/>
  <c r="E2028" i="1"/>
  <c r="F2028" i="1"/>
  <c r="G2028" i="1"/>
  <c r="A2028" i="1"/>
  <c r="B2028" i="1"/>
  <c r="H2028" i="1"/>
  <c r="I2028" i="1"/>
  <c r="D1422" i="1"/>
  <c r="E1422" i="1"/>
  <c r="F1422" i="1"/>
  <c r="G1422" i="1"/>
  <c r="A1422" i="1"/>
  <c r="B1422" i="1"/>
  <c r="H1422" i="1"/>
  <c r="I1422" i="1"/>
  <c r="D2682" i="1"/>
  <c r="E2682" i="1"/>
  <c r="F2682" i="1"/>
  <c r="G2682" i="1"/>
  <c r="A2682" i="1"/>
  <c r="B2682" i="1"/>
  <c r="H2682" i="1"/>
  <c r="I2682" i="1"/>
  <c r="D3316" i="1"/>
  <c r="E3316" i="1"/>
  <c r="F3316" i="1"/>
  <c r="G3316" i="1"/>
  <c r="A3316" i="1"/>
  <c r="B3316" i="1"/>
  <c r="H3316" i="1"/>
  <c r="I3316" i="1"/>
  <c r="D2010" i="1"/>
  <c r="E2010" i="1"/>
  <c r="F2010" i="1"/>
  <c r="G2010" i="1"/>
  <c r="A2010" i="1"/>
  <c r="B2010" i="1"/>
  <c r="H2010" i="1"/>
  <c r="I2010" i="1"/>
  <c r="D2587" i="1"/>
  <c r="E2587" i="1"/>
  <c r="F2587" i="1"/>
  <c r="G2587" i="1"/>
  <c r="A2587" i="1"/>
  <c r="B2587" i="1"/>
  <c r="H2587" i="1"/>
  <c r="I2587" i="1"/>
  <c r="D3141" i="1"/>
  <c r="E3141" i="1"/>
  <c r="F3141" i="1"/>
  <c r="G3141" i="1"/>
  <c r="A3141" i="1"/>
  <c r="B3141" i="1"/>
  <c r="H3141" i="1"/>
  <c r="I3141" i="1"/>
  <c r="D3309" i="1"/>
  <c r="E3309" i="1"/>
  <c r="F3309" i="1"/>
  <c r="G3309" i="1"/>
  <c r="A3309" i="1"/>
  <c r="B3309" i="1"/>
  <c r="H3309" i="1"/>
  <c r="I3309" i="1"/>
  <c r="D1070" i="1"/>
  <c r="E1070" i="1"/>
  <c r="F1070" i="1"/>
  <c r="G1070" i="1"/>
  <c r="A1070" i="1"/>
  <c r="B1070" i="1"/>
  <c r="H1070" i="1"/>
  <c r="I1070" i="1"/>
  <c r="D3318" i="1"/>
  <c r="E3318" i="1"/>
  <c r="F3318" i="1"/>
  <c r="G3318" i="1"/>
  <c r="A3318" i="1"/>
  <c r="B3318" i="1"/>
  <c r="H3318" i="1"/>
  <c r="I3318" i="1"/>
  <c r="D2892" i="1"/>
  <c r="E2892" i="1"/>
  <c r="F2892" i="1"/>
  <c r="G2892" i="1"/>
  <c r="A2892" i="1"/>
  <c r="B2892" i="1"/>
  <c r="H2892" i="1"/>
  <c r="I2892" i="1"/>
  <c r="D2017" i="1"/>
  <c r="E2017" i="1"/>
  <c r="F2017" i="1"/>
  <c r="G2017" i="1"/>
  <c r="A2017" i="1"/>
  <c r="B2017" i="1"/>
  <c r="H2017" i="1"/>
  <c r="I2017" i="1"/>
  <c r="D2018" i="1"/>
  <c r="E2018" i="1"/>
  <c r="F2018" i="1"/>
  <c r="G2018" i="1"/>
  <c r="A2018" i="1"/>
  <c r="B2018" i="1"/>
  <c r="H2018" i="1"/>
  <c r="I2018" i="1"/>
  <c r="D1993" i="1"/>
  <c r="E1993" i="1"/>
  <c r="F1993" i="1"/>
  <c r="G1993" i="1"/>
  <c r="A1993" i="1"/>
  <c r="B1993" i="1"/>
  <c r="H1993" i="1"/>
  <c r="I1993" i="1"/>
  <c r="D1236" i="1"/>
  <c r="E1236" i="1"/>
  <c r="F1236" i="1"/>
  <c r="G1236" i="1"/>
  <c r="A1236" i="1"/>
  <c r="B1236" i="1"/>
  <c r="H1236" i="1"/>
  <c r="I1236" i="1"/>
  <c r="D1421" i="1"/>
  <c r="E1421" i="1"/>
  <c r="F1421" i="1"/>
  <c r="G1421" i="1"/>
  <c r="A1421" i="1"/>
  <c r="B1421" i="1"/>
  <c r="H1421" i="1"/>
  <c r="I1421" i="1"/>
  <c r="D2020" i="1"/>
  <c r="E2020" i="1"/>
  <c r="F2020" i="1"/>
  <c r="G2020" i="1"/>
  <c r="A2020" i="1"/>
  <c r="B2020" i="1"/>
  <c r="H2020" i="1"/>
  <c r="I2020" i="1"/>
  <c r="D3317" i="1"/>
  <c r="E3317" i="1"/>
  <c r="F3317" i="1"/>
  <c r="G3317" i="1"/>
  <c r="A3317" i="1"/>
  <c r="B3317" i="1"/>
  <c r="H3317" i="1"/>
  <c r="I3317" i="1"/>
  <c r="D1991" i="1"/>
  <c r="E1991" i="1"/>
  <c r="F1991" i="1"/>
  <c r="G1991" i="1"/>
  <c r="A1991" i="1"/>
  <c r="B1991" i="1"/>
  <c r="H1991" i="1"/>
  <c r="I1991" i="1"/>
  <c r="D1999" i="1"/>
  <c r="E1999" i="1"/>
  <c r="F1999" i="1"/>
  <c r="G1999" i="1"/>
  <c r="A1999" i="1"/>
  <c r="B1999" i="1"/>
  <c r="H1999" i="1"/>
  <c r="I1999" i="1"/>
  <c r="D2009" i="1"/>
  <c r="E2009" i="1"/>
  <c r="F2009" i="1"/>
  <c r="G2009" i="1"/>
  <c r="A2009" i="1"/>
  <c r="B2009" i="1"/>
  <c r="H2009" i="1"/>
  <c r="I2009" i="1"/>
  <c r="D1417" i="1"/>
  <c r="E1417" i="1"/>
  <c r="F1417" i="1"/>
  <c r="G1417" i="1"/>
  <c r="A1417" i="1"/>
  <c r="B1417" i="1"/>
  <c r="H1417" i="1"/>
  <c r="I1417" i="1"/>
  <c r="D3307" i="1"/>
  <c r="E3307" i="1"/>
  <c r="F3307" i="1"/>
  <c r="G3307" i="1"/>
  <c r="A3307" i="1"/>
  <c r="B3307" i="1"/>
  <c r="H3307" i="1"/>
  <c r="I3307" i="1"/>
  <c r="D1423" i="1"/>
  <c r="E1423" i="1"/>
  <c r="F1423" i="1"/>
  <c r="G1423" i="1"/>
  <c r="A1423" i="1"/>
  <c r="B1423" i="1"/>
  <c r="H1423" i="1"/>
  <c r="I1423" i="1"/>
  <c r="D2008" i="1"/>
  <c r="E2008" i="1"/>
  <c r="F2008" i="1"/>
  <c r="G2008" i="1"/>
  <c r="A2008" i="1"/>
  <c r="B2008" i="1"/>
  <c r="H2008" i="1"/>
  <c r="I2008" i="1"/>
  <c r="D1415" i="1"/>
  <c r="E1415" i="1"/>
  <c r="F1415" i="1"/>
  <c r="G1415" i="1"/>
  <c r="A1415" i="1"/>
  <c r="B1415" i="1"/>
  <c r="H1415" i="1"/>
  <c r="I1415" i="1"/>
  <c r="D2580" i="1"/>
  <c r="E2580" i="1"/>
  <c r="F2580" i="1"/>
  <c r="G2580" i="1"/>
  <c r="A2580" i="1"/>
  <c r="B2580" i="1"/>
  <c r="H2580" i="1"/>
  <c r="I2580" i="1"/>
  <c r="D2841" i="1"/>
  <c r="E2841" i="1"/>
  <c r="F2841" i="1"/>
  <c r="G2841" i="1"/>
  <c r="A2841" i="1"/>
  <c r="B2841" i="1"/>
  <c r="H2841" i="1"/>
  <c r="I2841" i="1"/>
  <c r="D2023" i="1"/>
  <c r="E2023" i="1"/>
  <c r="F2023" i="1"/>
  <c r="G2023" i="1"/>
  <c r="A2023" i="1"/>
  <c r="B2023" i="1"/>
  <c r="H2023" i="1"/>
  <c r="I2023" i="1"/>
  <c r="D2684" i="1"/>
  <c r="E2684" i="1"/>
  <c r="F2684" i="1"/>
  <c r="G2684" i="1"/>
  <c r="A2684" i="1"/>
  <c r="B2684" i="1"/>
  <c r="H2684" i="1"/>
  <c r="I2684" i="1"/>
  <c r="D3310" i="1"/>
  <c r="E3310" i="1"/>
  <c r="F3310" i="1"/>
  <c r="G3310" i="1"/>
  <c r="A3310" i="1"/>
  <c r="B3310" i="1"/>
  <c r="H3310" i="1"/>
  <c r="I3310" i="1"/>
  <c r="D1994" i="1"/>
  <c r="E1994" i="1"/>
  <c r="F1994" i="1"/>
  <c r="G1994" i="1"/>
  <c r="A1994" i="1"/>
  <c r="B1994" i="1"/>
  <c r="H1994" i="1"/>
  <c r="I1994" i="1"/>
  <c r="D2024" i="1"/>
  <c r="E2024" i="1"/>
  <c r="F2024" i="1"/>
  <c r="G2024" i="1"/>
  <c r="A2024" i="1"/>
  <c r="B2024" i="1"/>
  <c r="H2024" i="1"/>
  <c r="I2024" i="1"/>
  <c r="D1072" i="1"/>
  <c r="E1072" i="1"/>
  <c r="F1072" i="1"/>
  <c r="G1072" i="1"/>
  <c r="A1072" i="1"/>
  <c r="B1072" i="1"/>
  <c r="H1072" i="1"/>
  <c r="I1072" i="1"/>
  <c r="D1996" i="1"/>
  <c r="E1996" i="1"/>
  <c r="F1996" i="1"/>
  <c r="G1996" i="1"/>
  <c r="A1996" i="1"/>
  <c r="B1996" i="1"/>
  <c r="H1996" i="1"/>
  <c r="I1996" i="1"/>
  <c r="D3358" i="1"/>
  <c r="E3358" i="1"/>
  <c r="F3358" i="1"/>
  <c r="G3358" i="1"/>
  <c r="A3358" i="1"/>
  <c r="B3358" i="1"/>
  <c r="H3358" i="1"/>
  <c r="I3358" i="1"/>
  <c r="D1998" i="1"/>
  <c r="E1998" i="1"/>
  <c r="F1998" i="1"/>
  <c r="G1998" i="1"/>
  <c r="A1998" i="1"/>
  <c r="B1998" i="1"/>
  <c r="H1998" i="1"/>
  <c r="I1998" i="1"/>
  <c r="D3557" i="1"/>
  <c r="E3557" i="1"/>
  <c r="F3557" i="1"/>
  <c r="G3557" i="1"/>
  <c r="A3557" i="1"/>
  <c r="B3557" i="1"/>
  <c r="H3557" i="1"/>
  <c r="I3557" i="1"/>
  <c r="D1411" i="1"/>
  <c r="E1411" i="1"/>
  <c r="F1411" i="1"/>
  <c r="G1411" i="1"/>
  <c r="A1411" i="1"/>
  <c r="B1411" i="1"/>
  <c r="H1411" i="1"/>
  <c r="I1411" i="1"/>
  <c r="D1412" i="1"/>
  <c r="E1412" i="1"/>
  <c r="F1412" i="1"/>
  <c r="G1412" i="1"/>
  <c r="A1412" i="1"/>
  <c r="B1412" i="1"/>
  <c r="H1412" i="1"/>
  <c r="I1412" i="1"/>
  <c r="D1413" i="1"/>
  <c r="E1413" i="1"/>
  <c r="F1413" i="1"/>
  <c r="G1413" i="1"/>
  <c r="A1413" i="1"/>
  <c r="B1413" i="1"/>
  <c r="H1413" i="1"/>
  <c r="I1413" i="1"/>
  <c r="D1414" i="1"/>
  <c r="E1414" i="1"/>
  <c r="F1414" i="1"/>
  <c r="G1414" i="1"/>
  <c r="A1414" i="1"/>
  <c r="B1414" i="1"/>
  <c r="H1414" i="1"/>
  <c r="I1414" i="1"/>
  <c r="D3197" i="1"/>
  <c r="E3197" i="1"/>
  <c r="F3197" i="1"/>
  <c r="G3197" i="1"/>
  <c r="A3197" i="1"/>
  <c r="B3197" i="1"/>
  <c r="H3197" i="1"/>
  <c r="I3197" i="1"/>
  <c r="D1997" i="1"/>
  <c r="E1997" i="1"/>
  <c r="F1997" i="1"/>
  <c r="G1997" i="1"/>
  <c r="A1997" i="1"/>
  <c r="B1997" i="1"/>
  <c r="H1997" i="1"/>
  <c r="I1997" i="1"/>
  <c r="D2608" i="1"/>
  <c r="E2608" i="1"/>
  <c r="F2608" i="1"/>
  <c r="G2608" i="1"/>
  <c r="A2608" i="1"/>
  <c r="B2608" i="1"/>
  <c r="H2608" i="1"/>
  <c r="I2608" i="1"/>
  <c r="D2003" i="1"/>
  <c r="E2003" i="1"/>
  <c r="F2003" i="1"/>
  <c r="G2003" i="1"/>
  <c r="A2003" i="1"/>
  <c r="B2003" i="1"/>
  <c r="H2003" i="1"/>
  <c r="I2003" i="1"/>
  <c r="D1992" i="1"/>
  <c r="E1992" i="1"/>
  <c r="F1992" i="1"/>
  <c r="G1992" i="1"/>
  <c r="A1992" i="1"/>
  <c r="B1992" i="1"/>
  <c r="H1992" i="1"/>
  <c r="I1992" i="1"/>
  <c r="D2006" i="1"/>
  <c r="E2006" i="1"/>
  <c r="F2006" i="1"/>
  <c r="G2006" i="1"/>
  <c r="A2006" i="1"/>
  <c r="B2006" i="1"/>
  <c r="H2006" i="1"/>
  <c r="I2006" i="1"/>
  <c r="D2634" i="1"/>
  <c r="E2634" i="1"/>
  <c r="F2634" i="1"/>
  <c r="G2634" i="1"/>
  <c r="A2634" i="1"/>
  <c r="B2634" i="1"/>
  <c r="H2634" i="1"/>
  <c r="I2634" i="1"/>
  <c r="D2022" i="1"/>
  <c r="E2022" i="1"/>
  <c r="F2022" i="1"/>
  <c r="G2022" i="1"/>
  <c r="A2022" i="1"/>
  <c r="B2022" i="1"/>
  <c r="H2022" i="1"/>
  <c r="I2022" i="1"/>
  <c r="D2859" i="1"/>
  <c r="E2859" i="1"/>
  <c r="F2859" i="1"/>
  <c r="G2859" i="1"/>
  <c r="A2859" i="1"/>
  <c r="B2859" i="1"/>
  <c r="H2859" i="1"/>
  <c r="I2859" i="1"/>
  <c r="D2858" i="1"/>
  <c r="E2858" i="1"/>
  <c r="F2858" i="1"/>
  <c r="G2858" i="1"/>
  <c r="A2858" i="1"/>
  <c r="B2858" i="1"/>
  <c r="H2858" i="1"/>
  <c r="I2858" i="1"/>
  <c r="D1403" i="1"/>
  <c r="E1403" i="1"/>
  <c r="F1403" i="1"/>
  <c r="G1403" i="1"/>
  <c r="A1403" i="1"/>
  <c r="B1403" i="1"/>
  <c r="H1403" i="1"/>
  <c r="I1403" i="1"/>
  <c r="D2029" i="1"/>
  <c r="E2029" i="1"/>
  <c r="F2029" i="1"/>
  <c r="G2029" i="1"/>
  <c r="A2029" i="1"/>
  <c r="B2029" i="1"/>
  <c r="H2029" i="1"/>
  <c r="I2029" i="1"/>
  <c r="D2609" i="1"/>
  <c r="E2609" i="1"/>
  <c r="F2609" i="1"/>
  <c r="G2609" i="1"/>
  <c r="A2609" i="1"/>
  <c r="B2609" i="1"/>
  <c r="H2609" i="1"/>
  <c r="I2609" i="1"/>
  <c r="D3546" i="1"/>
  <c r="E3546" i="1"/>
  <c r="F3546" i="1"/>
  <c r="G3546" i="1"/>
  <c r="A3546" i="1"/>
  <c r="B3546" i="1"/>
  <c r="H3546" i="1"/>
  <c r="I3546" i="1"/>
  <c r="D2001" i="1"/>
  <c r="E2001" i="1"/>
  <c r="F2001" i="1"/>
  <c r="G2001" i="1"/>
  <c r="A2001" i="1"/>
  <c r="B2001" i="1"/>
  <c r="H2001" i="1"/>
  <c r="I2001" i="1"/>
  <c r="D2893" i="1"/>
  <c r="E2893" i="1"/>
  <c r="F2893" i="1"/>
  <c r="G2893" i="1"/>
  <c r="A2893" i="1"/>
  <c r="B2893" i="1"/>
  <c r="H2893" i="1"/>
  <c r="I2893" i="1"/>
  <c r="D2021" i="1"/>
  <c r="E2021" i="1"/>
  <c r="F2021" i="1"/>
  <c r="G2021" i="1"/>
  <c r="A2021" i="1"/>
  <c r="B2021" i="1"/>
  <c r="H2021" i="1"/>
  <c r="I2021" i="1"/>
  <c r="D1404" i="1"/>
  <c r="E1404" i="1"/>
  <c r="F1404" i="1"/>
  <c r="G1404" i="1"/>
  <c r="A1404" i="1"/>
  <c r="B1404" i="1"/>
  <c r="H1404" i="1"/>
  <c r="I1404" i="1"/>
  <c r="D1237" i="1"/>
  <c r="E1237" i="1"/>
  <c r="F1237" i="1"/>
  <c r="G1237" i="1"/>
  <c r="A1237" i="1"/>
  <c r="B1237" i="1"/>
  <c r="H1237" i="1"/>
  <c r="I1237" i="1"/>
  <c r="D2011" i="1"/>
  <c r="E2011" i="1"/>
  <c r="F2011" i="1"/>
  <c r="G2011" i="1"/>
  <c r="A2011" i="1"/>
  <c r="B2011" i="1"/>
  <c r="H2011" i="1"/>
  <c r="I2011" i="1"/>
  <c r="D2588" i="1"/>
  <c r="E2588" i="1"/>
  <c r="F2588" i="1"/>
  <c r="G2588" i="1"/>
  <c r="A2588" i="1"/>
  <c r="B2588" i="1"/>
  <c r="H2588" i="1"/>
  <c r="I2588" i="1"/>
  <c r="D1418" i="1"/>
  <c r="E1418" i="1"/>
  <c r="F1418" i="1"/>
  <c r="G1418" i="1"/>
  <c r="A1418" i="1"/>
  <c r="B1418" i="1"/>
  <c r="H1418" i="1"/>
  <c r="I1418" i="1"/>
  <c r="D3142" i="1"/>
  <c r="E3142" i="1"/>
  <c r="F3142" i="1"/>
  <c r="G3142" i="1"/>
  <c r="A3142" i="1"/>
  <c r="B3142" i="1"/>
  <c r="H3142" i="1"/>
  <c r="I3142" i="1"/>
  <c r="D2027" i="1"/>
  <c r="E2027" i="1"/>
  <c r="F2027" i="1"/>
  <c r="G2027" i="1"/>
  <c r="A2027" i="1"/>
  <c r="B2027" i="1"/>
  <c r="H2027" i="1"/>
  <c r="I2027" i="1"/>
  <c r="D2026" i="1"/>
  <c r="E2026" i="1"/>
  <c r="F2026" i="1"/>
  <c r="G2026" i="1"/>
  <c r="A2026" i="1"/>
  <c r="B2026" i="1"/>
  <c r="H2026" i="1"/>
  <c r="I2026" i="1"/>
  <c r="D3356" i="1"/>
  <c r="E3356" i="1"/>
  <c r="F3356" i="1"/>
  <c r="G3356" i="1"/>
  <c r="A3356" i="1"/>
  <c r="B3356" i="1"/>
  <c r="H3356" i="1"/>
  <c r="I3356" i="1"/>
  <c r="D2042" i="1"/>
  <c r="E2042" i="1"/>
  <c r="F2042" i="1"/>
  <c r="G2042" i="1"/>
  <c r="A2042" i="1"/>
  <c r="B2042" i="1"/>
  <c r="H2042" i="1"/>
  <c r="I2042" i="1"/>
  <c r="D2043" i="1"/>
  <c r="E2043" i="1"/>
  <c r="F2043" i="1"/>
  <c r="G2043" i="1"/>
  <c r="A2043" i="1"/>
  <c r="B2043" i="1"/>
  <c r="H2043" i="1"/>
  <c r="I2043" i="1"/>
  <c r="D1068" i="1"/>
  <c r="E1068" i="1"/>
  <c r="F1068" i="1"/>
  <c r="G1068" i="1"/>
  <c r="A1068" i="1"/>
  <c r="B1068" i="1"/>
  <c r="H1068" i="1"/>
  <c r="I1068" i="1"/>
  <c r="D1069" i="1"/>
  <c r="E1069" i="1"/>
  <c r="F1069" i="1"/>
  <c r="G1069" i="1"/>
  <c r="A1069" i="1"/>
  <c r="B1069" i="1"/>
  <c r="H1069" i="1"/>
  <c r="I1069" i="1"/>
  <c r="D1066" i="1"/>
  <c r="E1066" i="1"/>
  <c r="F1066" i="1"/>
  <c r="G1066" i="1"/>
  <c r="A1066" i="1"/>
  <c r="B1066" i="1"/>
  <c r="H1066" i="1"/>
  <c r="I1066" i="1"/>
  <c r="D1067" i="1"/>
  <c r="E1067" i="1"/>
  <c r="F1067" i="1"/>
  <c r="G1067" i="1"/>
  <c r="A1067" i="1"/>
  <c r="B1067" i="1"/>
  <c r="H1067" i="1"/>
  <c r="I1067" i="1"/>
  <c r="D2041" i="1"/>
  <c r="E2041" i="1"/>
  <c r="F2041" i="1"/>
  <c r="G2041" i="1"/>
  <c r="A2041" i="1"/>
  <c r="B2041" i="1"/>
  <c r="H2041" i="1"/>
  <c r="I2041" i="1"/>
  <c r="D2044" i="1"/>
  <c r="E2044" i="1"/>
  <c r="F2044" i="1"/>
  <c r="G2044" i="1"/>
  <c r="A2044" i="1"/>
  <c r="B2044" i="1"/>
  <c r="H2044" i="1"/>
  <c r="I2044" i="1"/>
  <c r="D2595" i="1"/>
  <c r="E2595" i="1"/>
  <c r="F2595" i="1"/>
  <c r="G2595" i="1"/>
  <c r="A2595" i="1"/>
  <c r="B2595" i="1"/>
  <c r="H2595" i="1"/>
  <c r="I2595" i="1"/>
  <c r="D2596" i="1"/>
  <c r="E2596" i="1"/>
  <c r="F2596" i="1"/>
  <c r="G2596" i="1"/>
  <c r="A2596" i="1"/>
  <c r="B2596" i="1"/>
  <c r="H2596" i="1"/>
  <c r="I2596" i="1"/>
  <c r="D2049" i="1"/>
  <c r="E2049" i="1"/>
  <c r="F2049" i="1"/>
  <c r="G2049" i="1"/>
  <c r="A2049" i="1"/>
  <c r="B2049" i="1"/>
  <c r="H2049" i="1"/>
  <c r="I2049" i="1"/>
  <c r="D2047" i="1"/>
  <c r="E2047" i="1"/>
  <c r="F2047" i="1"/>
  <c r="G2047" i="1"/>
  <c r="A2047" i="1"/>
  <c r="B2047" i="1"/>
  <c r="H2047" i="1"/>
  <c r="I2047" i="1"/>
  <c r="D2048" i="1"/>
  <c r="E2048" i="1"/>
  <c r="F2048" i="1"/>
  <c r="G2048" i="1"/>
  <c r="A2048" i="1"/>
  <c r="B2048" i="1"/>
  <c r="H2048" i="1"/>
  <c r="I2048" i="1"/>
  <c r="D2210" i="1"/>
  <c r="E2210" i="1"/>
  <c r="F2210" i="1"/>
  <c r="G2210" i="1"/>
  <c r="A2210" i="1"/>
  <c r="B2210" i="1"/>
  <c r="H2210" i="1"/>
  <c r="I2210" i="1"/>
  <c r="D2798" i="1"/>
  <c r="E2798" i="1"/>
  <c r="F2798" i="1"/>
  <c r="G2798" i="1"/>
  <c r="A2798" i="1"/>
  <c r="B2798" i="1"/>
  <c r="H2798" i="1"/>
  <c r="I2798" i="1"/>
  <c r="D1210" i="1"/>
  <c r="E1210" i="1"/>
  <c r="F1210" i="1"/>
  <c r="G1210" i="1"/>
  <c r="A1210" i="1"/>
  <c r="B1210" i="1"/>
  <c r="H1210" i="1"/>
  <c r="I1210" i="1"/>
  <c r="D2222" i="1"/>
  <c r="E2222" i="1"/>
  <c r="F2222" i="1"/>
  <c r="G2222" i="1"/>
  <c r="A2222" i="1"/>
  <c r="B2222" i="1"/>
  <c r="H2222" i="1"/>
  <c r="I2222" i="1"/>
  <c r="D2223" i="1"/>
  <c r="E2223" i="1"/>
  <c r="F2223" i="1"/>
  <c r="G2223" i="1"/>
  <c r="A2223" i="1"/>
  <c r="B2223" i="1"/>
  <c r="H2223" i="1"/>
  <c r="I2223" i="1"/>
  <c r="D2221" i="1"/>
  <c r="E2221" i="1"/>
  <c r="F2221" i="1"/>
  <c r="G2221" i="1"/>
  <c r="A2221" i="1"/>
  <c r="B2221" i="1"/>
  <c r="H2221" i="1"/>
  <c r="I2221" i="1"/>
  <c r="D2224" i="1"/>
  <c r="E2224" i="1"/>
  <c r="F2224" i="1"/>
  <c r="G2224" i="1"/>
  <c r="A2224" i="1"/>
  <c r="B2224" i="1"/>
  <c r="H2224" i="1"/>
  <c r="I2224" i="1"/>
  <c r="D2864" i="1"/>
  <c r="E2864" i="1"/>
  <c r="F2864" i="1"/>
  <c r="G2864" i="1"/>
  <c r="A2864" i="1"/>
  <c r="B2864" i="1"/>
  <c r="H2864" i="1"/>
  <c r="I2864" i="1"/>
  <c r="D2218" i="1"/>
  <c r="E2218" i="1"/>
  <c r="F2218" i="1"/>
  <c r="G2218" i="1"/>
  <c r="A2218" i="1"/>
  <c r="B2218" i="1"/>
  <c r="H2218" i="1"/>
  <c r="I2218" i="1"/>
  <c r="D1209" i="1"/>
  <c r="E1209" i="1"/>
  <c r="F1209" i="1"/>
  <c r="G1209" i="1"/>
  <c r="A1209" i="1"/>
  <c r="B1209" i="1"/>
  <c r="H1209" i="1"/>
  <c r="I1209" i="1"/>
  <c r="D2780" i="1"/>
  <c r="E2780" i="1"/>
  <c r="F2780" i="1"/>
  <c r="G2780" i="1"/>
  <c r="A2780" i="1"/>
  <c r="B2780" i="1"/>
  <c r="H2780" i="1"/>
  <c r="I2780" i="1"/>
  <c r="D2781" i="1"/>
  <c r="E2781" i="1"/>
  <c r="F2781" i="1"/>
  <c r="G2781" i="1"/>
  <c r="A2781" i="1"/>
  <c r="B2781" i="1"/>
  <c r="H2781" i="1"/>
  <c r="I2781" i="1"/>
  <c r="D2783" i="1"/>
  <c r="E2783" i="1"/>
  <c r="F2783" i="1"/>
  <c r="G2783" i="1"/>
  <c r="A2783" i="1"/>
  <c r="B2783" i="1"/>
  <c r="H2783" i="1"/>
  <c r="I2783" i="1"/>
  <c r="D2219" i="1"/>
  <c r="E2219" i="1"/>
  <c r="F2219" i="1"/>
  <c r="G2219" i="1"/>
  <c r="A2219" i="1"/>
  <c r="B2219" i="1"/>
  <c r="H2219" i="1"/>
  <c r="I2219" i="1"/>
  <c r="D2225" i="1"/>
  <c r="E2225" i="1"/>
  <c r="F2225" i="1"/>
  <c r="G2225" i="1"/>
  <c r="A2225" i="1"/>
  <c r="B2225" i="1"/>
  <c r="H2225" i="1"/>
  <c r="I2225" i="1"/>
  <c r="D2220" i="1"/>
  <c r="E2220" i="1"/>
  <c r="F2220" i="1"/>
  <c r="G2220" i="1"/>
  <c r="A2220" i="1"/>
  <c r="B2220" i="1"/>
  <c r="H2220" i="1"/>
  <c r="I2220" i="1"/>
  <c r="D2797" i="1"/>
  <c r="E2797" i="1"/>
  <c r="F2797" i="1"/>
  <c r="G2797" i="1"/>
  <c r="A2797" i="1"/>
  <c r="B2797" i="1"/>
  <c r="H2797" i="1"/>
  <c r="I2797" i="1"/>
  <c r="D1208" i="1"/>
  <c r="E1208" i="1"/>
  <c r="F1208" i="1"/>
  <c r="G1208" i="1"/>
  <c r="A1208" i="1"/>
  <c r="B1208" i="1"/>
  <c r="H1208" i="1"/>
  <c r="I1208" i="1"/>
  <c r="D2216" i="1"/>
  <c r="E2216" i="1"/>
  <c r="F2216" i="1"/>
  <c r="G2216" i="1"/>
  <c r="A2216" i="1"/>
  <c r="B2216" i="1"/>
  <c r="H2216" i="1"/>
  <c r="I2216" i="1"/>
  <c r="D1211" i="1"/>
  <c r="E1211" i="1"/>
  <c r="F1211" i="1"/>
  <c r="G1211" i="1"/>
  <c r="A1211" i="1"/>
  <c r="B1211" i="1"/>
  <c r="H1211" i="1"/>
  <c r="I1211" i="1"/>
  <c r="D2761" i="1"/>
  <c r="E2761" i="1"/>
  <c r="F2761" i="1"/>
  <c r="G2761" i="1"/>
  <c r="A2761" i="1"/>
  <c r="B2761" i="1"/>
  <c r="H2761" i="1"/>
  <c r="I2761" i="1"/>
  <c r="D2782" i="1"/>
  <c r="E2782" i="1"/>
  <c r="F2782" i="1"/>
  <c r="G2782" i="1"/>
  <c r="A2782" i="1"/>
  <c r="B2782" i="1"/>
  <c r="H2782" i="1"/>
  <c r="I2782" i="1"/>
  <c r="D2217" i="1"/>
  <c r="E2217" i="1"/>
  <c r="F2217" i="1"/>
  <c r="G2217" i="1"/>
  <c r="A2217" i="1"/>
  <c r="B2217" i="1"/>
  <c r="H2217" i="1"/>
  <c r="I2217" i="1"/>
  <c r="D2777" i="1"/>
  <c r="E2777" i="1"/>
  <c r="F2777" i="1"/>
  <c r="G2777" i="1"/>
  <c r="A2777" i="1"/>
  <c r="B2777" i="1"/>
  <c r="H2777" i="1"/>
  <c r="I2777" i="1"/>
  <c r="D2776" i="1"/>
  <c r="E2776" i="1"/>
  <c r="F2776" i="1"/>
  <c r="G2776" i="1"/>
  <c r="A2776" i="1"/>
  <c r="B2776" i="1"/>
  <c r="H2776" i="1"/>
  <c r="I2776" i="1"/>
  <c r="D2226" i="1"/>
  <c r="E2226" i="1"/>
  <c r="F2226" i="1"/>
  <c r="G2226" i="1"/>
  <c r="A2226" i="1"/>
  <c r="B2226" i="1"/>
  <c r="H2226" i="1"/>
  <c r="I2226" i="1"/>
  <c r="D2907" i="1"/>
  <c r="E2907" i="1"/>
  <c r="F2907" i="1"/>
  <c r="G2907" i="1"/>
  <c r="A2907" i="1"/>
  <c r="B2907" i="1"/>
  <c r="H2907" i="1"/>
  <c r="I2907" i="1"/>
  <c r="D2733" i="1"/>
  <c r="E2733" i="1"/>
  <c r="F2733" i="1"/>
  <c r="G2733" i="1"/>
  <c r="A2733" i="1"/>
  <c r="B2733" i="1"/>
  <c r="H2733" i="1"/>
  <c r="I2733" i="1"/>
  <c r="D2865" i="1"/>
  <c r="E2865" i="1"/>
  <c r="F2865" i="1"/>
  <c r="G2865" i="1"/>
  <c r="A2865" i="1"/>
  <c r="B2865" i="1"/>
  <c r="H2865" i="1"/>
  <c r="I2865" i="1"/>
  <c r="D2778" i="1"/>
  <c r="E2778" i="1"/>
  <c r="F2778" i="1"/>
  <c r="G2778" i="1"/>
  <c r="A2778" i="1"/>
  <c r="B2778" i="1"/>
  <c r="H2778" i="1"/>
  <c r="I2778" i="1"/>
  <c r="D2779" i="1"/>
  <c r="E2779" i="1"/>
  <c r="F2779" i="1"/>
  <c r="G2779" i="1"/>
  <c r="A2779" i="1"/>
  <c r="B2779" i="1"/>
  <c r="H2779" i="1"/>
  <c r="I2779" i="1"/>
  <c r="D1081" i="1"/>
  <c r="E1081" i="1"/>
  <c r="F1081" i="1"/>
  <c r="G1081" i="1"/>
  <c r="A1081" i="1"/>
  <c r="B1081" i="1"/>
  <c r="H1081" i="1"/>
  <c r="I1081" i="1"/>
  <c r="D1271" i="1"/>
  <c r="E1271" i="1"/>
  <c r="F1271" i="1"/>
  <c r="G1271" i="1"/>
  <c r="A1271" i="1"/>
  <c r="B1271" i="1"/>
  <c r="H1271" i="1"/>
  <c r="I1271" i="1"/>
  <c r="D2844" i="1"/>
  <c r="E2844" i="1"/>
  <c r="F2844" i="1"/>
  <c r="G2844" i="1"/>
  <c r="A2844" i="1"/>
  <c r="B2844" i="1"/>
  <c r="H2844" i="1"/>
  <c r="I2844" i="1"/>
  <c r="D2311" i="1"/>
  <c r="E2311" i="1"/>
  <c r="F2311" i="1"/>
  <c r="G2311" i="1"/>
  <c r="A2311" i="1"/>
  <c r="B2311" i="1"/>
  <c r="H2311" i="1"/>
  <c r="I2311" i="1"/>
  <c r="D2312" i="1"/>
  <c r="E2312" i="1"/>
  <c r="F2312" i="1"/>
  <c r="G2312" i="1"/>
  <c r="A2312" i="1"/>
  <c r="B2312" i="1"/>
  <c r="H2312" i="1"/>
  <c r="I2312" i="1"/>
  <c r="D1269" i="1"/>
  <c r="E1269" i="1"/>
  <c r="F1269" i="1"/>
  <c r="G1269" i="1"/>
  <c r="A1269" i="1"/>
  <c r="B1269" i="1"/>
  <c r="H1269" i="1"/>
  <c r="I1269" i="1"/>
  <c r="D2308" i="1"/>
  <c r="E2308" i="1"/>
  <c r="F2308" i="1"/>
  <c r="G2308" i="1"/>
  <c r="A2308" i="1"/>
  <c r="B2308" i="1"/>
  <c r="H2308" i="1"/>
  <c r="I2308" i="1"/>
  <c r="D2309" i="1"/>
  <c r="E2309" i="1"/>
  <c r="F2309" i="1"/>
  <c r="G2309" i="1"/>
  <c r="A2309" i="1"/>
  <c r="B2309" i="1"/>
  <c r="H2309" i="1"/>
  <c r="I2309" i="1"/>
  <c r="D2313" i="1"/>
  <c r="E2313" i="1"/>
  <c r="F2313" i="1"/>
  <c r="G2313" i="1"/>
  <c r="A2313" i="1"/>
  <c r="B2313" i="1"/>
  <c r="H2313" i="1"/>
  <c r="I2313" i="1"/>
  <c r="D1266" i="1"/>
  <c r="E1266" i="1"/>
  <c r="F1266" i="1"/>
  <c r="G1266" i="1"/>
  <c r="A1266" i="1"/>
  <c r="B1266" i="1"/>
  <c r="H1266" i="1"/>
  <c r="I1266" i="1"/>
  <c r="D2316" i="1"/>
  <c r="E2316" i="1"/>
  <c r="F2316" i="1"/>
  <c r="G2316" i="1"/>
  <c r="A2316" i="1"/>
  <c r="B2316" i="1"/>
  <c r="H2316" i="1"/>
  <c r="I2316" i="1"/>
  <c r="D2519" i="1"/>
  <c r="E2519" i="1"/>
  <c r="F2519" i="1"/>
  <c r="G2519" i="1"/>
  <c r="A2519" i="1"/>
  <c r="B2519" i="1"/>
  <c r="H2519" i="1"/>
  <c r="I2519" i="1"/>
  <c r="D3271" i="1"/>
  <c r="E3271" i="1"/>
  <c r="F3271" i="1"/>
  <c r="G3271" i="1"/>
  <c r="A3271" i="1"/>
  <c r="B3271" i="1"/>
  <c r="H3271" i="1"/>
  <c r="I3271" i="1"/>
  <c r="D1268" i="1"/>
  <c r="E1268" i="1"/>
  <c r="F1268" i="1"/>
  <c r="G1268" i="1"/>
  <c r="A1268" i="1"/>
  <c r="B1268" i="1"/>
  <c r="H1268" i="1"/>
  <c r="I1268" i="1"/>
  <c r="D2310" i="1"/>
  <c r="E2310" i="1"/>
  <c r="F2310" i="1"/>
  <c r="G2310" i="1"/>
  <c r="A2310" i="1"/>
  <c r="B2310" i="1"/>
  <c r="H2310" i="1"/>
  <c r="I2310" i="1"/>
  <c r="D1270" i="1"/>
  <c r="E1270" i="1"/>
  <c r="F1270" i="1"/>
  <c r="G1270" i="1"/>
  <c r="A1270" i="1"/>
  <c r="B1270" i="1"/>
  <c r="H1270" i="1"/>
  <c r="I1270" i="1"/>
  <c r="D1272" i="1"/>
  <c r="E1272" i="1"/>
  <c r="F1272" i="1"/>
  <c r="G1272" i="1"/>
  <c r="A1272" i="1"/>
  <c r="B1272" i="1"/>
  <c r="H1272" i="1"/>
  <c r="I1272" i="1"/>
  <c r="D1274" i="1"/>
  <c r="E1274" i="1"/>
  <c r="F1274" i="1"/>
  <c r="G1274" i="1"/>
  <c r="A1274" i="1"/>
  <c r="B1274" i="1"/>
  <c r="H1274" i="1"/>
  <c r="I1274" i="1"/>
  <c r="D3545" i="1"/>
  <c r="E3545" i="1"/>
  <c r="F3545" i="1"/>
  <c r="G3545" i="1"/>
  <c r="A3545" i="1"/>
  <c r="B3545" i="1"/>
  <c r="H3545" i="1"/>
  <c r="I3545" i="1"/>
  <c r="D2317" i="1"/>
  <c r="E2317" i="1"/>
  <c r="F2317" i="1"/>
  <c r="G2317" i="1"/>
  <c r="A2317" i="1"/>
  <c r="B2317" i="1"/>
  <c r="H2317" i="1"/>
  <c r="I2317" i="1"/>
  <c r="D2845" i="1"/>
  <c r="E2845" i="1"/>
  <c r="F2845" i="1"/>
  <c r="G2845" i="1"/>
  <c r="A2845" i="1"/>
  <c r="B2845" i="1"/>
  <c r="H2845" i="1"/>
  <c r="I2845" i="1"/>
  <c r="D2315" i="1"/>
  <c r="E2315" i="1"/>
  <c r="F2315" i="1"/>
  <c r="G2315" i="1"/>
  <c r="A2315" i="1"/>
  <c r="B2315" i="1"/>
  <c r="H2315" i="1"/>
  <c r="I2315" i="1"/>
  <c r="D3250" i="1"/>
  <c r="E3250" i="1"/>
  <c r="F3250" i="1"/>
  <c r="G3250" i="1"/>
  <c r="A3250" i="1"/>
  <c r="B3250" i="1"/>
  <c r="H3250" i="1"/>
  <c r="I3250" i="1"/>
  <c r="D1267" i="1"/>
  <c r="E1267" i="1"/>
  <c r="F1267" i="1"/>
  <c r="G1267" i="1"/>
  <c r="A1267" i="1"/>
  <c r="B1267" i="1"/>
  <c r="H1267" i="1"/>
  <c r="I1267" i="1"/>
  <c r="D1273" i="1"/>
  <c r="E1273" i="1"/>
  <c r="F1273" i="1"/>
  <c r="G1273" i="1"/>
  <c r="A1273" i="1"/>
  <c r="B1273" i="1"/>
  <c r="H1273" i="1"/>
  <c r="I1273" i="1"/>
  <c r="D2314" i="1"/>
  <c r="E2314" i="1"/>
  <c r="F2314" i="1"/>
  <c r="G2314" i="1"/>
  <c r="A2314" i="1"/>
  <c r="B2314" i="1"/>
  <c r="H2314" i="1"/>
  <c r="I2314" i="1"/>
  <c r="D2323" i="1"/>
  <c r="E2323" i="1"/>
  <c r="F2323" i="1"/>
  <c r="G2323" i="1"/>
  <c r="A2323" i="1"/>
  <c r="B2323" i="1"/>
  <c r="H2323" i="1"/>
  <c r="I2323" i="1"/>
  <c r="D2318" i="1"/>
  <c r="E2318" i="1"/>
  <c r="F2318" i="1"/>
  <c r="G2318" i="1"/>
  <c r="A2318" i="1"/>
  <c r="B2318" i="1"/>
  <c r="H2318" i="1"/>
  <c r="I2318" i="1"/>
  <c r="D2319" i="1"/>
  <c r="E2319" i="1"/>
  <c r="F2319" i="1"/>
  <c r="G2319" i="1"/>
  <c r="A2319" i="1"/>
  <c r="B2319" i="1"/>
  <c r="H2319" i="1"/>
  <c r="I2319" i="1"/>
  <c r="D2321" i="1"/>
  <c r="E2321" i="1"/>
  <c r="F2321" i="1"/>
  <c r="G2321" i="1"/>
  <c r="A2321" i="1"/>
  <c r="B2321" i="1"/>
  <c r="H2321" i="1"/>
  <c r="I2321" i="1"/>
  <c r="D1135" i="1"/>
  <c r="E1135" i="1"/>
  <c r="F1135" i="1"/>
  <c r="G1135" i="1"/>
  <c r="A1135" i="1"/>
  <c r="B1135" i="1"/>
  <c r="H1135" i="1"/>
  <c r="I1135" i="1"/>
  <c r="D2322" i="1"/>
  <c r="E2322" i="1"/>
  <c r="F2322" i="1"/>
  <c r="G2322" i="1"/>
  <c r="A2322" i="1"/>
  <c r="B2322" i="1"/>
  <c r="H2322" i="1"/>
  <c r="I2322" i="1"/>
  <c r="D2793" i="1"/>
  <c r="E2793" i="1"/>
  <c r="F2793" i="1"/>
  <c r="G2793" i="1"/>
  <c r="A2793" i="1"/>
  <c r="B2793" i="1"/>
  <c r="H2793" i="1"/>
  <c r="I2793" i="1"/>
  <c r="D2909" i="1"/>
  <c r="E2909" i="1"/>
  <c r="F2909" i="1"/>
  <c r="G2909" i="1"/>
  <c r="A2909" i="1"/>
  <c r="B2909" i="1"/>
  <c r="H2909" i="1"/>
  <c r="I2909" i="1"/>
  <c r="D2908" i="1"/>
  <c r="E2908" i="1"/>
  <c r="F2908" i="1"/>
  <c r="G2908" i="1"/>
  <c r="A2908" i="1"/>
  <c r="B2908" i="1"/>
  <c r="H2908" i="1"/>
  <c r="I2908" i="1"/>
  <c r="D2810" i="1"/>
  <c r="E2810" i="1"/>
  <c r="F2810" i="1"/>
  <c r="G2810" i="1"/>
  <c r="A2810" i="1"/>
  <c r="B2810" i="1"/>
  <c r="H2810" i="1"/>
  <c r="I2810" i="1"/>
  <c r="D1128" i="1"/>
  <c r="E1128" i="1"/>
  <c r="F1128" i="1"/>
  <c r="G1128" i="1"/>
  <c r="A1128" i="1"/>
  <c r="B1128" i="1"/>
  <c r="H1128" i="1"/>
  <c r="I1128" i="1"/>
  <c r="D2320" i="1"/>
  <c r="E2320" i="1"/>
  <c r="F2320" i="1"/>
  <c r="G2320" i="1"/>
  <c r="A2320" i="1"/>
  <c r="B2320" i="1"/>
  <c r="H2320" i="1"/>
  <c r="I2320" i="1"/>
  <c r="D2794" i="1"/>
  <c r="E2794" i="1"/>
  <c r="F2794" i="1"/>
  <c r="G2794" i="1"/>
  <c r="A2794" i="1"/>
  <c r="B2794" i="1"/>
  <c r="H2794" i="1"/>
  <c r="I2794" i="1"/>
  <c r="D1239" i="1"/>
  <c r="E1239" i="1"/>
  <c r="F1239" i="1"/>
  <c r="G1239" i="1"/>
  <c r="A1239" i="1"/>
  <c r="B1239" i="1"/>
  <c r="H1239" i="1"/>
  <c r="I1239" i="1"/>
  <c r="D1247" i="1"/>
  <c r="E1247" i="1"/>
  <c r="F1247" i="1"/>
  <c r="G1247" i="1"/>
  <c r="A1247" i="1"/>
  <c r="B1247" i="1"/>
  <c r="H1247" i="1"/>
  <c r="I1247" i="1"/>
  <c r="D2428" i="1"/>
  <c r="E2428" i="1"/>
  <c r="F2428" i="1"/>
  <c r="G2428" i="1"/>
  <c r="A2428" i="1"/>
  <c r="B2428" i="1"/>
  <c r="H2428" i="1"/>
  <c r="I2428" i="1"/>
  <c r="D3048" i="1"/>
  <c r="E3048" i="1"/>
  <c r="F3048" i="1"/>
  <c r="G3048" i="1"/>
  <c r="A3048" i="1"/>
  <c r="B3048" i="1"/>
  <c r="H3048" i="1"/>
  <c r="I3048" i="1"/>
  <c r="D3374" i="1"/>
  <c r="E3374" i="1"/>
  <c r="F3374" i="1"/>
  <c r="G3374" i="1"/>
  <c r="A3374" i="1"/>
  <c r="B3374" i="1"/>
  <c r="H3374" i="1"/>
  <c r="I3374" i="1"/>
  <c r="D1240" i="1"/>
  <c r="E1240" i="1"/>
  <c r="F1240" i="1"/>
  <c r="G1240" i="1"/>
  <c r="A1240" i="1"/>
  <c r="B1240" i="1"/>
  <c r="H1240" i="1"/>
  <c r="I1240" i="1"/>
  <c r="D2828" i="1"/>
  <c r="E2828" i="1"/>
  <c r="F2828" i="1"/>
  <c r="G2828" i="1"/>
  <c r="A2828" i="1"/>
  <c r="B2828" i="1"/>
  <c r="H2828" i="1"/>
  <c r="I2828" i="1"/>
  <c r="D1248" i="1"/>
  <c r="E1248" i="1"/>
  <c r="F1248" i="1"/>
  <c r="G1248" i="1"/>
  <c r="A1248" i="1"/>
  <c r="B1248" i="1"/>
  <c r="H1248" i="1"/>
  <c r="I1248" i="1"/>
  <c r="D2829" i="1"/>
  <c r="E2829" i="1"/>
  <c r="F2829" i="1"/>
  <c r="G2829" i="1"/>
  <c r="A2829" i="1"/>
  <c r="B2829" i="1"/>
  <c r="H2829" i="1"/>
  <c r="I2829" i="1"/>
  <c r="D2426" i="1"/>
  <c r="E2426" i="1"/>
  <c r="F2426" i="1"/>
  <c r="G2426" i="1"/>
  <c r="A2426" i="1"/>
  <c r="B2426" i="1"/>
  <c r="H2426" i="1"/>
  <c r="I2426" i="1"/>
  <c r="D1241" i="1"/>
  <c r="E1241" i="1"/>
  <c r="F1241" i="1"/>
  <c r="G1241" i="1"/>
  <c r="A1241" i="1"/>
  <c r="B1241" i="1"/>
  <c r="H1241" i="1"/>
  <c r="I1241" i="1"/>
  <c r="D2534" i="1"/>
  <c r="E2534" i="1"/>
  <c r="F2534" i="1"/>
  <c r="G2534" i="1"/>
  <c r="A2534" i="1"/>
  <c r="B2534" i="1"/>
  <c r="H2534" i="1"/>
  <c r="I2534" i="1"/>
  <c r="D2535" i="1"/>
  <c r="E2535" i="1"/>
  <c r="F2535" i="1"/>
  <c r="G2535" i="1"/>
  <c r="A2535" i="1"/>
  <c r="B2535" i="1"/>
  <c r="H2535" i="1"/>
  <c r="I2535" i="1"/>
  <c r="D1242" i="1"/>
  <c r="E1242" i="1"/>
  <c r="F1242" i="1"/>
  <c r="G1242" i="1"/>
  <c r="A1242" i="1"/>
  <c r="B1242" i="1"/>
  <c r="H1242" i="1"/>
  <c r="I1242" i="1"/>
  <c r="D1243" i="1"/>
  <c r="E1243" i="1"/>
  <c r="F1243" i="1"/>
  <c r="G1243" i="1"/>
  <c r="A1243" i="1"/>
  <c r="B1243" i="1"/>
  <c r="H1243" i="1"/>
  <c r="I1243" i="1"/>
  <c r="D1244" i="1"/>
  <c r="E1244" i="1"/>
  <c r="F1244" i="1"/>
  <c r="G1244" i="1"/>
  <c r="A1244" i="1"/>
  <c r="B1244" i="1"/>
  <c r="H1244" i="1"/>
  <c r="I1244" i="1"/>
  <c r="D2532" i="1"/>
  <c r="E2532" i="1"/>
  <c r="F2532" i="1"/>
  <c r="G2532" i="1"/>
  <c r="A2532" i="1"/>
  <c r="B2532" i="1"/>
  <c r="H2532" i="1"/>
  <c r="I2532" i="1"/>
  <c r="D2533" i="1"/>
  <c r="E2533" i="1"/>
  <c r="F2533" i="1"/>
  <c r="G2533" i="1"/>
  <c r="A2533" i="1"/>
  <c r="B2533" i="1"/>
  <c r="H2533" i="1"/>
  <c r="I2533" i="1"/>
  <c r="D2430" i="1"/>
  <c r="E2430" i="1"/>
  <c r="F2430" i="1"/>
  <c r="G2430" i="1"/>
  <c r="A2430" i="1"/>
  <c r="B2430" i="1"/>
  <c r="H2430" i="1"/>
  <c r="I2430" i="1"/>
  <c r="D2898" i="1"/>
  <c r="E2898" i="1"/>
  <c r="F2898" i="1"/>
  <c r="G2898" i="1"/>
  <c r="A2898" i="1"/>
  <c r="B2898" i="1"/>
  <c r="H2898" i="1"/>
  <c r="I2898" i="1"/>
  <c r="D2899" i="1"/>
  <c r="E2899" i="1"/>
  <c r="F2899" i="1"/>
  <c r="G2899" i="1"/>
  <c r="A2899" i="1"/>
  <c r="B2899" i="1"/>
  <c r="H2899" i="1"/>
  <c r="I2899" i="1"/>
  <c r="D2425" i="1"/>
  <c r="E2425" i="1"/>
  <c r="F2425" i="1"/>
  <c r="G2425" i="1"/>
  <c r="A2425" i="1"/>
  <c r="B2425" i="1"/>
  <c r="H2425" i="1"/>
  <c r="I2425" i="1"/>
  <c r="D1245" i="1"/>
  <c r="E1245" i="1"/>
  <c r="F1245" i="1"/>
  <c r="G1245" i="1"/>
  <c r="A1245" i="1"/>
  <c r="B1245" i="1"/>
  <c r="H1245" i="1"/>
  <c r="I1245" i="1"/>
  <c r="D2431" i="1"/>
  <c r="E2431" i="1"/>
  <c r="F2431" i="1"/>
  <c r="G2431" i="1"/>
  <c r="A2431" i="1"/>
  <c r="B2431" i="1"/>
  <c r="H2431" i="1"/>
  <c r="I2431" i="1"/>
  <c r="D3049" i="1"/>
  <c r="E3049" i="1"/>
  <c r="F3049" i="1"/>
  <c r="G3049" i="1"/>
  <c r="A3049" i="1"/>
  <c r="B3049" i="1"/>
  <c r="H3049" i="1"/>
  <c r="I3049" i="1"/>
  <c r="D3050" i="1"/>
  <c r="E3050" i="1"/>
  <c r="F3050" i="1"/>
  <c r="G3050" i="1"/>
  <c r="A3050" i="1"/>
  <c r="B3050" i="1"/>
  <c r="H3050" i="1"/>
  <c r="I3050" i="1"/>
  <c r="D1246" i="1"/>
  <c r="E1246" i="1"/>
  <c r="F1246" i="1"/>
  <c r="G1246" i="1"/>
  <c r="A1246" i="1"/>
  <c r="B1246" i="1"/>
  <c r="H1246" i="1"/>
  <c r="I1246" i="1"/>
  <c r="D2427" i="1"/>
  <c r="E2427" i="1"/>
  <c r="F2427" i="1"/>
  <c r="G2427" i="1"/>
  <c r="A2427" i="1"/>
  <c r="B2427" i="1"/>
  <c r="H2427" i="1"/>
  <c r="I2427" i="1"/>
  <c r="D2429" i="1"/>
  <c r="E2429" i="1"/>
  <c r="F2429" i="1"/>
  <c r="G2429" i="1"/>
  <c r="A2429" i="1"/>
  <c r="B2429" i="1"/>
  <c r="H2429" i="1"/>
  <c r="I2429" i="1"/>
  <c r="D2659" i="1"/>
  <c r="E2659" i="1"/>
  <c r="F2659" i="1"/>
  <c r="G2659" i="1"/>
  <c r="A2659" i="1"/>
  <c r="B2659" i="1"/>
  <c r="H2659" i="1"/>
  <c r="I2659" i="1"/>
  <c r="D3373" i="1"/>
  <c r="E3373" i="1"/>
  <c r="F3373" i="1"/>
  <c r="G3373" i="1"/>
  <c r="A3373" i="1"/>
  <c r="B3373" i="1"/>
  <c r="H3373" i="1"/>
  <c r="I3373" i="1"/>
  <c r="D3016" i="1"/>
  <c r="E3016" i="1"/>
  <c r="F3016" i="1"/>
  <c r="G3016" i="1"/>
  <c r="A3016" i="1"/>
  <c r="B3016" i="1"/>
  <c r="H3016" i="1"/>
  <c r="I3016" i="1"/>
  <c r="D3018" i="1"/>
  <c r="E3018" i="1"/>
  <c r="F3018" i="1"/>
  <c r="G3018" i="1"/>
  <c r="A3018" i="1"/>
  <c r="B3018" i="1"/>
  <c r="H3018" i="1"/>
  <c r="I3018" i="1"/>
  <c r="D3015" i="1"/>
  <c r="E3015" i="1"/>
  <c r="F3015" i="1"/>
  <c r="G3015" i="1"/>
  <c r="A3015" i="1"/>
  <c r="B3015" i="1"/>
  <c r="H3015" i="1"/>
  <c r="I3015" i="1"/>
  <c r="D3020" i="1"/>
  <c r="E3020" i="1"/>
  <c r="F3020" i="1"/>
  <c r="G3020" i="1"/>
  <c r="A3020" i="1"/>
  <c r="B3020" i="1"/>
  <c r="H3020" i="1"/>
  <c r="I3020" i="1"/>
  <c r="D3014" i="1"/>
  <c r="E3014" i="1"/>
  <c r="F3014" i="1"/>
  <c r="G3014" i="1"/>
  <c r="A3014" i="1"/>
  <c r="B3014" i="1"/>
  <c r="H3014" i="1"/>
  <c r="I3014" i="1"/>
  <c r="D3019" i="1"/>
  <c r="E3019" i="1"/>
  <c r="F3019" i="1"/>
  <c r="G3019" i="1"/>
  <c r="A3019" i="1"/>
  <c r="B3019" i="1"/>
  <c r="H3019" i="1"/>
  <c r="I3019" i="1"/>
  <c r="D2804" i="1"/>
  <c r="E2804" i="1"/>
  <c r="F2804" i="1"/>
  <c r="G2804" i="1"/>
  <c r="A2804" i="1"/>
  <c r="B2804" i="1"/>
  <c r="H2804" i="1"/>
  <c r="I2804" i="1"/>
  <c r="D2536" i="1"/>
  <c r="E2536" i="1"/>
  <c r="F2536" i="1"/>
  <c r="G2536" i="1"/>
  <c r="A2536" i="1"/>
  <c r="B2536" i="1"/>
  <c r="H2536" i="1"/>
  <c r="I2536" i="1"/>
  <c r="D3013" i="1"/>
  <c r="E3013" i="1"/>
  <c r="F3013" i="1"/>
  <c r="G3013" i="1"/>
  <c r="A3013" i="1"/>
  <c r="B3013" i="1"/>
  <c r="H3013" i="1"/>
  <c r="I3013" i="1"/>
  <c r="D3017" i="1"/>
  <c r="E3017" i="1"/>
  <c r="F3017" i="1"/>
  <c r="G3017" i="1"/>
  <c r="A3017" i="1"/>
  <c r="B3017" i="1"/>
  <c r="H3017" i="1"/>
  <c r="I3017" i="1"/>
  <c r="D2803" i="1"/>
  <c r="E2803" i="1"/>
  <c r="F2803" i="1"/>
  <c r="G2803" i="1"/>
  <c r="A2803" i="1"/>
  <c r="B2803" i="1"/>
  <c r="H2803" i="1"/>
  <c r="I2803" i="1"/>
  <c r="D3467" i="1"/>
  <c r="E3467" i="1"/>
  <c r="F3467" i="1"/>
  <c r="G3467" i="1"/>
  <c r="A3467" i="1"/>
  <c r="B3467" i="1"/>
  <c r="H3467" i="1"/>
  <c r="I3467" i="1"/>
  <c r="D1398" i="1"/>
  <c r="E1398" i="1"/>
  <c r="F1398" i="1"/>
  <c r="G1398" i="1"/>
  <c r="A1398" i="1"/>
  <c r="B1398" i="1"/>
  <c r="H1398" i="1"/>
  <c r="I1398" i="1"/>
  <c r="D3285" i="1"/>
  <c r="E3285" i="1"/>
  <c r="F3285" i="1"/>
  <c r="G3285" i="1"/>
  <c r="A3285" i="1"/>
  <c r="B3285" i="1"/>
  <c r="H3285" i="1"/>
  <c r="I3285" i="1"/>
  <c r="D3471" i="1"/>
  <c r="E3471" i="1"/>
  <c r="F3471" i="1"/>
  <c r="G3471" i="1"/>
  <c r="A3471" i="1"/>
  <c r="B3471" i="1"/>
  <c r="H3471" i="1"/>
  <c r="I3471" i="1"/>
  <c r="D3472" i="1"/>
  <c r="E3472" i="1"/>
  <c r="F3472" i="1"/>
  <c r="G3472" i="1"/>
  <c r="A3472" i="1"/>
  <c r="B3472" i="1"/>
  <c r="H3472" i="1"/>
  <c r="I3472" i="1"/>
  <c r="D1397" i="1"/>
  <c r="E1397" i="1"/>
  <c r="F1397" i="1"/>
  <c r="G1397" i="1"/>
  <c r="A1397" i="1"/>
  <c r="B1397" i="1"/>
  <c r="H1397" i="1"/>
  <c r="I1397" i="1"/>
  <c r="D304" i="1"/>
  <c r="E304" i="1"/>
  <c r="F304" i="1"/>
  <c r="G304" i="1"/>
  <c r="A304" i="1"/>
  <c r="B304" i="1"/>
  <c r="H304" i="1"/>
  <c r="I304" i="1"/>
  <c r="D2606" i="1"/>
  <c r="E2606" i="1"/>
  <c r="F2606" i="1"/>
  <c r="G2606" i="1"/>
  <c r="A2606" i="1"/>
  <c r="B2606" i="1"/>
  <c r="H2606" i="1"/>
  <c r="I2606" i="1"/>
  <c r="D2821" i="1"/>
  <c r="E2821" i="1"/>
  <c r="F2821" i="1"/>
  <c r="G2821" i="1"/>
  <c r="A2821" i="1"/>
  <c r="B2821" i="1"/>
  <c r="H2821" i="1"/>
  <c r="I2821" i="1"/>
  <c r="D3466" i="1"/>
  <c r="E3466" i="1"/>
  <c r="F3466" i="1"/>
  <c r="G3466" i="1"/>
  <c r="A3466" i="1"/>
  <c r="B3466" i="1"/>
  <c r="H3466" i="1"/>
  <c r="I3466" i="1"/>
  <c r="D2737" i="1"/>
  <c r="E2737" i="1"/>
  <c r="F2737" i="1"/>
  <c r="G2737" i="1"/>
  <c r="A2737" i="1"/>
  <c r="B2737" i="1"/>
  <c r="H2737" i="1"/>
  <c r="I2737" i="1"/>
  <c r="D3465" i="1"/>
  <c r="E3465" i="1"/>
  <c r="F3465" i="1"/>
  <c r="G3465" i="1"/>
  <c r="A3465" i="1"/>
  <c r="B3465" i="1"/>
  <c r="H3465" i="1"/>
  <c r="I3465" i="1"/>
  <c r="D3470" i="1"/>
  <c r="E3470" i="1"/>
  <c r="F3470" i="1"/>
  <c r="G3470" i="1"/>
  <c r="A3470" i="1"/>
  <c r="B3470" i="1"/>
  <c r="H3470" i="1"/>
  <c r="I3470" i="1"/>
  <c r="D3469" i="1"/>
  <c r="E3469" i="1"/>
  <c r="F3469" i="1"/>
  <c r="G3469" i="1"/>
  <c r="A3469" i="1"/>
  <c r="B3469" i="1"/>
  <c r="H3469" i="1"/>
  <c r="I3469" i="1"/>
  <c r="D1396" i="1"/>
  <c r="E1396" i="1"/>
  <c r="F1396" i="1"/>
  <c r="G1396" i="1"/>
  <c r="A1396" i="1"/>
  <c r="B1396" i="1"/>
  <c r="H1396" i="1"/>
  <c r="I1396" i="1"/>
  <c r="D3473" i="1"/>
  <c r="E3473" i="1"/>
  <c r="F3473" i="1"/>
  <c r="G3473" i="1"/>
  <c r="A3473" i="1"/>
  <c r="B3473" i="1"/>
  <c r="H3473" i="1"/>
  <c r="I3473" i="1"/>
  <c r="D2738" i="1"/>
  <c r="E2738" i="1"/>
  <c r="F2738" i="1"/>
  <c r="G2738" i="1"/>
  <c r="A2738" i="1"/>
  <c r="B2738" i="1"/>
  <c r="H2738" i="1"/>
  <c r="I2738" i="1"/>
  <c r="D3468" i="1"/>
  <c r="E3468" i="1"/>
  <c r="F3468" i="1"/>
  <c r="G3468" i="1"/>
  <c r="A3468" i="1"/>
  <c r="B3468" i="1"/>
  <c r="H3468" i="1"/>
  <c r="I3468" i="1"/>
  <c r="D2605" i="1"/>
  <c r="E2605" i="1"/>
  <c r="F2605" i="1"/>
  <c r="G2605" i="1"/>
  <c r="A2605" i="1"/>
  <c r="B2605" i="1"/>
  <c r="H2605" i="1"/>
  <c r="I2605" i="1"/>
  <c r="D2820" i="1"/>
  <c r="E2820" i="1"/>
  <c r="F2820" i="1"/>
  <c r="G2820" i="1"/>
  <c r="A2820" i="1"/>
  <c r="B2820" i="1"/>
  <c r="H2820" i="1"/>
  <c r="I2820" i="1"/>
  <c r="D1084" i="1"/>
  <c r="E1084" i="1"/>
  <c r="F1084" i="1"/>
  <c r="G1084" i="1"/>
  <c r="A1084" i="1"/>
  <c r="B1084" i="1"/>
  <c r="H1084" i="1"/>
  <c r="I1084" i="1"/>
  <c r="D3233" i="1"/>
  <c r="E3233" i="1"/>
  <c r="F3233" i="1"/>
  <c r="G3233" i="1"/>
  <c r="A3233" i="1"/>
  <c r="B3233" i="1"/>
  <c r="H3233" i="1"/>
  <c r="I3233" i="1"/>
  <c r="D3474" i="1"/>
  <c r="E3474" i="1"/>
  <c r="F3474" i="1"/>
  <c r="G3474" i="1"/>
  <c r="A3474" i="1"/>
  <c r="B3474" i="1"/>
  <c r="H3474" i="1"/>
  <c r="I3474" i="1"/>
  <c r="D3475" i="1"/>
  <c r="E3475" i="1"/>
  <c r="F3475" i="1"/>
  <c r="G3475" i="1"/>
  <c r="A3475" i="1"/>
  <c r="B3475" i="1"/>
  <c r="H3475" i="1"/>
  <c r="I3475" i="1"/>
  <c r="D3479" i="1"/>
  <c r="E3479" i="1"/>
  <c r="F3479" i="1"/>
  <c r="G3479" i="1"/>
  <c r="A3479" i="1"/>
  <c r="B3479" i="1"/>
  <c r="H3479" i="1"/>
  <c r="I3479" i="1"/>
  <c r="D3480" i="1"/>
  <c r="E3480" i="1"/>
  <c r="F3480" i="1"/>
  <c r="G3480" i="1"/>
  <c r="A3480" i="1"/>
  <c r="B3480" i="1"/>
  <c r="H3480" i="1"/>
  <c r="I3480" i="1"/>
  <c r="D3477" i="1"/>
  <c r="E3477" i="1"/>
  <c r="F3477" i="1"/>
  <c r="G3477" i="1"/>
  <c r="A3477" i="1"/>
  <c r="B3477" i="1"/>
  <c r="H3477" i="1"/>
  <c r="I3477" i="1"/>
  <c r="D3476" i="1"/>
  <c r="E3476" i="1"/>
  <c r="F3476" i="1"/>
  <c r="G3476" i="1"/>
  <c r="A3476" i="1"/>
  <c r="B3476" i="1"/>
  <c r="H3476" i="1"/>
  <c r="I3476" i="1"/>
  <c r="D3478" i="1"/>
  <c r="E3478" i="1"/>
  <c r="F3478" i="1"/>
  <c r="G3478" i="1"/>
  <c r="A3478" i="1"/>
  <c r="B3478" i="1"/>
  <c r="H3478" i="1"/>
  <c r="I3478" i="1"/>
  <c r="D715" i="1"/>
  <c r="E715" i="1"/>
  <c r="F715" i="1"/>
  <c r="G715" i="1"/>
  <c r="A715" i="1"/>
  <c r="B715" i="1"/>
  <c r="H715" i="1"/>
  <c r="I715" i="1"/>
  <c r="D120" i="1"/>
  <c r="E120" i="1"/>
  <c r="F120" i="1"/>
  <c r="G120" i="1"/>
  <c r="A120" i="1"/>
  <c r="B120" i="1"/>
  <c r="H120" i="1"/>
  <c r="I120" i="1"/>
  <c r="D121" i="1"/>
  <c r="E121" i="1"/>
  <c r="F121" i="1"/>
  <c r="G121" i="1"/>
  <c r="A121" i="1"/>
  <c r="B121" i="1"/>
  <c r="H121" i="1"/>
  <c r="I121" i="1"/>
  <c r="D3570" i="1"/>
  <c r="E3570" i="1"/>
  <c r="F3570" i="1"/>
  <c r="G3570" i="1"/>
  <c r="A3570" i="1"/>
  <c r="B3570" i="1"/>
  <c r="H3570" i="1"/>
  <c r="I3570" i="1"/>
  <c r="D3270" i="1"/>
  <c r="E3270" i="1"/>
  <c r="F3270" i="1"/>
  <c r="G3270" i="1"/>
  <c r="A3270" i="1"/>
  <c r="B3270" i="1"/>
  <c r="H3270" i="1"/>
  <c r="I3270" i="1"/>
  <c r="D718" i="1"/>
  <c r="E718" i="1"/>
  <c r="F718" i="1"/>
  <c r="G718" i="1"/>
  <c r="A718" i="1"/>
  <c r="B718" i="1"/>
  <c r="H718" i="1"/>
  <c r="I718" i="1"/>
  <c r="D724" i="1"/>
  <c r="E724" i="1"/>
  <c r="F724" i="1"/>
  <c r="G724" i="1"/>
  <c r="A724" i="1"/>
  <c r="B724" i="1"/>
  <c r="H724" i="1"/>
  <c r="I724" i="1"/>
  <c r="D2814" i="1"/>
  <c r="E2814" i="1"/>
  <c r="F2814" i="1"/>
  <c r="G2814" i="1"/>
  <c r="A2814" i="1"/>
  <c r="B2814" i="1"/>
  <c r="H2814" i="1"/>
  <c r="I2814" i="1"/>
  <c r="D3565" i="1"/>
  <c r="E3565" i="1"/>
  <c r="F3565" i="1"/>
  <c r="G3565" i="1"/>
  <c r="A3565" i="1"/>
  <c r="B3565" i="1"/>
  <c r="H3565" i="1"/>
  <c r="I3565" i="1"/>
  <c r="D3547" i="1"/>
  <c r="E3547" i="1"/>
  <c r="F3547" i="1"/>
  <c r="G3547" i="1"/>
  <c r="A3547" i="1"/>
  <c r="B3547" i="1"/>
  <c r="H3547" i="1"/>
  <c r="I3547" i="1"/>
  <c r="D720" i="1"/>
  <c r="E720" i="1"/>
  <c r="F720" i="1"/>
  <c r="G720" i="1"/>
  <c r="A720" i="1"/>
  <c r="B720" i="1"/>
  <c r="H720" i="1"/>
  <c r="I720" i="1"/>
  <c r="D728" i="1"/>
  <c r="E728" i="1"/>
  <c r="F728" i="1"/>
  <c r="G728" i="1"/>
  <c r="A728" i="1"/>
  <c r="B728" i="1"/>
  <c r="H728" i="1"/>
  <c r="I728" i="1"/>
  <c r="D727" i="1"/>
  <c r="E727" i="1"/>
  <c r="F727" i="1"/>
  <c r="G727" i="1"/>
  <c r="A727" i="1"/>
  <c r="B727" i="1"/>
  <c r="H727" i="1"/>
  <c r="I727" i="1"/>
  <c r="D1501" i="1"/>
  <c r="E1501" i="1"/>
  <c r="F1501" i="1"/>
  <c r="G1501" i="1"/>
  <c r="A1501" i="1"/>
  <c r="B1501" i="1"/>
  <c r="H1501" i="1"/>
  <c r="I1501" i="1"/>
  <c r="D1502" i="1"/>
  <c r="E1502" i="1"/>
  <c r="F1502" i="1"/>
  <c r="G1502" i="1"/>
  <c r="A1502" i="1"/>
  <c r="B1502" i="1"/>
  <c r="H1502" i="1"/>
  <c r="I1502" i="1"/>
  <c r="D3568" i="1"/>
  <c r="E3568" i="1"/>
  <c r="F3568" i="1"/>
  <c r="G3568" i="1"/>
  <c r="A3568" i="1"/>
  <c r="B3568" i="1"/>
  <c r="H3568" i="1"/>
  <c r="I3568" i="1"/>
  <c r="D726" i="1"/>
  <c r="E726" i="1"/>
  <c r="F726" i="1"/>
  <c r="G726" i="1"/>
  <c r="A726" i="1"/>
  <c r="B726" i="1"/>
  <c r="H726" i="1"/>
  <c r="I726" i="1"/>
  <c r="D725" i="1"/>
  <c r="E725" i="1"/>
  <c r="F725" i="1"/>
  <c r="G725" i="1"/>
  <c r="A725" i="1"/>
  <c r="B725" i="1"/>
  <c r="H725" i="1"/>
  <c r="I725" i="1"/>
  <c r="D3272" i="1"/>
  <c r="E3272" i="1"/>
  <c r="F3272" i="1"/>
  <c r="G3272" i="1"/>
  <c r="A3272" i="1"/>
  <c r="B3272" i="1"/>
  <c r="H3272" i="1"/>
  <c r="I3272" i="1"/>
  <c r="D3556" i="1"/>
  <c r="E3556" i="1"/>
  <c r="F3556" i="1"/>
  <c r="G3556" i="1"/>
  <c r="A3556" i="1"/>
  <c r="B3556" i="1"/>
  <c r="H3556" i="1"/>
  <c r="I3556" i="1"/>
  <c r="D1500" i="1"/>
  <c r="E1500" i="1"/>
  <c r="F1500" i="1"/>
  <c r="G1500" i="1"/>
  <c r="A1500" i="1"/>
  <c r="B1500" i="1"/>
  <c r="H1500" i="1"/>
  <c r="I1500" i="1"/>
  <c r="D1504" i="1"/>
  <c r="E1504" i="1"/>
  <c r="F1504" i="1"/>
  <c r="G1504" i="1"/>
  <c r="A1504" i="1"/>
  <c r="B1504" i="1"/>
  <c r="H1504" i="1"/>
  <c r="I1504" i="1"/>
  <c r="D1495" i="1"/>
  <c r="E1495" i="1"/>
  <c r="F1495" i="1"/>
  <c r="G1495" i="1"/>
  <c r="A1495" i="1"/>
  <c r="B1495" i="1"/>
  <c r="H1495" i="1"/>
  <c r="I1495" i="1"/>
  <c r="D1505" i="1"/>
  <c r="E1505" i="1"/>
  <c r="F1505" i="1"/>
  <c r="G1505" i="1"/>
  <c r="A1505" i="1"/>
  <c r="B1505" i="1"/>
  <c r="H1505" i="1"/>
  <c r="I1505" i="1"/>
  <c r="D2762" i="1"/>
  <c r="E2762" i="1"/>
  <c r="F2762" i="1"/>
  <c r="G2762" i="1"/>
  <c r="A2762" i="1"/>
  <c r="B2762" i="1"/>
  <c r="H2762" i="1"/>
  <c r="I2762" i="1"/>
  <c r="D2763" i="1"/>
  <c r="E2763" i="1"/>
  <c r="F2763" i="1"/>
  <c r="G2763" i="1"/>
  <c r="A2763" i="1"/>
  <c r="B2763" i="1"/>
  <c r="H2763" i="1"/>
  <c r="I2763" i="1"/>
  <c r="D1503" i="1"/>
  <c r="E1503" i="1"/>
  <c r="F1503" i="1"/>
  <c r="G1503" i="1"/>
  <c r="A1503" i="1"/>
  <c r="B1503" i="1"/>
  <c r="H1503" i="1"/>
  <c r="I1503" i="1"/>
  <c r="D3571" i="1"/>
  <c r="E3571" i="1"/>
  <c r="F3571" i="1"/>
  <c r="G3571" i="1"/>
  <c r="A3571" i="1"/>
  <c r="B3571" i="1"/>
  <c r="H3571" i="1"/>
  <c r="I3571" i="1"/>
  <c r="D3544" i="1"/>
  <c r="E3544" i="1"/>
  <c r="F3544" i="1"/>
  <c r="G3544" i="1"/>
  <c r="A3544" i="1"/>
  <c r="B3544" i="1"/>
  <c r="H3544" i="1"/>
  <c r="I3544" i="1"/>
  <c r="D719" i="1"/>
  <c r="E719" i="1"/>
  <c r="F719" i="1"/>
  <c r="G719" i="1"/>
  <c r="A719" i="1"/>
  <c r="B719" i="1"/>
  <c r="H719" i="1"/>
  <c r="I719" i="1"/>
  <c r="D721" i="1"/>
  <c r="E721" i="1"/>
  <c r="F721" i="1"/>
  <c r="G721" i="1"/>
  <c r="A721" i="1"/>
  <c r="B721" i="1"/>
  <c r="H721" i="1"/>
  <c r="I721" i="1"/>
  <c r="D2045" i="1"/>
  <c r="E2045" i="1"/>
  <c r="F2045" i="1"/>
  <c r="G2045" i="1"/>
  <c r="A2045" i="1"/>
  <c r="B2045" i="1"/>
  <c r="H2045" i="1"/>
  <c r="I2045" i="1"/>
  <c r="D3572" i="1"/>
  <c r="E3572" i="1"/>
  <c r="F3572" i="1"/>
  <c r="G3572" i="1"/>
  <c r="A3572" i="1"/>
  <c r="B3572" i="1"/>
  <c r="H3572" i="1"/>
  <c r="I3572" i="1"/>
  <c r="D717" i="1"/>
  <c r="E717" i="1"/>
  <c r="F717" i="1"/>
  <c r="G717" i="1"/>
  <c r="A717" i="1"/>
  <c r="B717" i="1"/>
  <c r="H717" i="1"/>
  <c r="I717" i="1"/>
  <c r="D2046" i="1"/>
  <c r="E2046" i="1"/>
  <c r="F2046" i="1"/>
  <c r="G2046" i="1"/>
  <c r="A2046" i="1"/>
  <c r="B2046" i="1"/>
  <c r="H2046" i="1"/>
  <c r="I2046" i="1"/>
  <c r="D3555" i="1"/>
  <c r="E3555" i="1"/>
  <c r="F3555" i="1"/>
  <c r="G3555" i="1"/>
  <c r="A3555" i="1"/>
  <c r="B3555" i="1"/>
  <c r="H3555" i="1"/>
  <c r="I3555" i="1"/>
  <c r="D3566" i="1"/>
  <c r="E3566" i="1"/>
  <c r="F3566" i="1"/>
  <c r="G3566" i="1"/>
  <c r="A3566" i="1"/>
  <c r="B3566" i="1"/>
  <c r="H3566" i="1"/>
  <c r="I3566" i="1"/>
  <c r="D3567" i="1"/>
  <c r="E3567" i="1"/>
  <c r="F3567" i="1"/>
  <c r="G3567" i="1"/>
  <c r="A3567" i="1"/>
  <c r="B3567" i="1"/>
  <c r="H3567" i="1"/>
  <c r="I3567" i="1"/>
  <c r="D3569" i="1"/>
  <c r="E3569" i="1"/>
  <c r="F3569" i="1"/>
  <c r="G3569" i="1"/>
  <c r="A3569" i="1"/>
  <c r="B3569" i="1"/>
  <c r="H3569" i="1"/>
  <c r="I3569" i="1"/>
  <c r="D3573" i="1"/>
  <c r="E3573" i="1"/>
  <c r="F3573" i="1"/>
  <c r="G3573" i="1"/>
  <c r="A3573" i="1"/>
  <c r="B3573" i="1"/>
  <c r="H3573" i="1"/>
  <c r="I3573" i="1"/>
  <c r="D2805" i="1"/>
  <c r="E2805" i="1"/>
  <c r="F2805" i="1"/>
  <c r="G2805" i="1"/>
  <c r="A2805" i="1"/>
  <c r="B2805" i="1"/>
  <c r="H2805" i="1"/>
  <c r="I2805" i="1"/>
  <c r="D1499" i="1"/>
  <c r="E1499" i="1"/>
  <c r="F1499" i="1"/>
  <c r="G1499" i="1"/>
  <c r="A1499" i="1"/>
  <c r="B1499" i="1"/>
  <c r="H1499" i="1"/>
  <c r="I1499" i="1"/>
  <c r="D1498" i="1"/>
  <c r="E1498" i="1"/>
  <c r="F1498" i="1"/>
  <c r="G1498" i="1"/>
  <c r="A1498" i="1"/>
  <c r="B1498" i="1"/>
  <c r="H1498" i="1"/>
  <c r="I1498" i="1"/>
  <c r="D3574" i="1"/>
  <c r="E3574" i="1"/>
  <c r="F3574" i="1"/>
  <c r="G3574" i="1"/>
  <c r="A3574" i="1"/>
  <c r="B3574" i="1"/>
  <c r="H3574" i="1"/>
  <c r="I3574" i="1"/>
  <c r="D1496" i="1"/>
  <c r="E1496" i="1"/>
  <c r="F1496" i="1"/>
  <c r="G1496" i="1"/>
  <c r="A1496" i="1"/>
  <c r="B1496" i="1"/>
  <c r="H1496" i="1"/>
  <c r="I1496" i="1"/>
  <c r="D1506" i="1"/>
  <c r="E1506" i="1"/>
  <c r="F1506" i="1"/>
  <c r="G1506" i="1"/>
  <c r="A1506" i="1"/>
  <c r="B1506" i="1"/>
  <c r="H1506" i="1"/>
  <c r="I1506" i="1"/>
  <c r="D1497" i="1"/>
  <c r="E1497" i="1"/>
  <c r="F1497" i="1"/>
  <c r="G1497" i="1"/>
  <c r="A1497" i="1"/>
  <c r="B1497" i="1"/>
  <c r="H1497" i="1"/>
  <c r="I1497" i="1"/>
  <c r="D722" i="1"/>
  <c r="E722" i="1"/>
  <c r="F722" i="1"/>
  <c r="G722" i="1"/>
  <c r="A722" i="1"/>
  <c r="B722" i="1"/>
  <c r="H722" i="1"/>
  <c r="I722" i="1"/>
  <c r="D2764" i="1"/>
  <c r="E2764" i="1"/>
  <c r="F2764" i="1"/>
  <c r="G2764" i="1"/>
  <c r="A2764" i="1"/>
  <c r="B2764" i="1"/>
  <c r="H2764" i="1"/>
  <c r="I2764" i="1"/>
  <c r="D2765" i="1"/>
  <c r="E2765" i="1"/>
  <c r="F2765" i="1"/>
  <c r="G2765" i="1"/>
  <c r="A2765" i="1"/>
  <c r="B2765" i="1"/>
  <c r="H2765" i="1"/>
  <c r="I2765" i="1"/>
  <c r="D1136" i="1"/>
  <c r="E1136" i="1"/>
  <c r="F1136" i="1"/>
  <c r="G1136" i="1"/>
  <c r="A1136" i="1"/>
  <c r="B1136" i="1"/>
  <c r="H1136" i="1"/>
  <c r="I1136" i="1"/>
  <c r="D238" i="1"/>
  <c r="E238" i="1"/>
  <c r="F238" i="1"/>
  <c r="G238" i="1"/>
  <c r="A238" i="1"/>
  <c r="B238" i="1"/>
  <c r="H238" i="1"/>
  <c r="I238" i="1"/>
  <c r="D239" i="1"/>
  <c r="E239" i="1"/>
  <c r="F239" i="1"/>
  <c r="G239" i="1"/>
  <c r="A239" i="1"/>
  <c r="B239" i="1"/>
  <c r="H239" i="1"/>
  <c r="I239" i="1"/>
  <c r="D233" i="1"/>
  <c r="E233" i="1"/>
  <c r="F233" i="1"/>
  <c r="G233" i="1"/>
  <c r="A233" i="1"/>
  <c r="B233" i="1"/>
  <c r="H233" i="1"/>
  <c r="I233" i="1"/>
  <c r="D1775" i="1"/>
  <c r="E1775" i="1"/>
  <c r="F1775" i="1"/>
  <c r="G1775" i="1"/>
  <c r="A1775" i="1"/>
  <c r="B1775" i="1"/>
  <c r="H1775" i="1"/>
  <c r="I1775" i="1"/>
  <c r="D3062" i="1"/>
  <c r="E3062" i="1"/>
  <c r="F3062" i="1"/>
  <c r="G3062" i="1"/>
  <c r="A3062" i="1"/>
  <c r="B3062" i="1"/>
  <c r="H3062" i="1"/>
  <c r="I3062" i="1"/>
  <c r="D2703" i="1"/>
  <c r="E2703" i="1"/>
  <c r="F2703" i="1"/>
  <c r="G2703" i="1"/>
  <c r="A2703" i="1"/>
  <c r="B2703" i="1"/>
  <c r="H2703" i="1"/>
  <c r="I2703" i="1"/>
  <c r="D234" i="1"/>
  <c r="E234" i="1"/>
  <c r="F234" i="1"/>
  <c r="G234" i="1"/>
  <c r="A234" i="1"/>
  <c r="B234" i="1"/>
  <c r="H234" i="1"/>
  <c r="I234" i="1"/>
  <c r="D241" i="1"/>
  <c r="E241" i="1"/>
  <c r="F241" i="1"/>
  <c r="G241" i="1"/>
  <c r="A241" i="1"/>
  <c r="B241" i="1"/>
  <c r="H241" i="1"/>
  <c r="I241" i="1"/>
  <c r="D243" i="1"/>
  <c r="E243" i="1"/>
  <c r="F243" i="1"/>
  <c r="G243" i="1"/>
  <c r="A243" i="1"/>
  <c r="B243" i="1"/>
  <c r="H243" i="1"/>
  <c r="I243" i="1"/>
  <c r="D12" i="1"/>
  <c r="E12" i="1"/>
  <c r="F12" i="1"/>
  <c r="G12" i="1"/>
  <c r="A12" i="1"/>
  <c r="B12" i="1"/>
  <c r="H12" i="1"/>
  <c r="I12" i="1"/>
  <c r="D15" i="1"/>
  <c r="E15" i="1"/>
  <c r="F15" i="1"/>
  <c r="G15" i="1"/>
  <c r="A15" i="1"/>
  <c r="B15" i="1"/>
  <c r="H15" i="1"/>
  <c r="I15" i="1"/>
  <c r="D2727" i="1"/>
  <c r="E2727" i="1"/>
  <c r="F2727" i="1"/>
  <c r="G2727" i="1"/>
  <c r="A2727" i="1"/>
  <c r="B2727" i="1"/>
  <c r="H2727" i="1"/>
  <c r="I2727" i="1"/>
  <c r="D2726" i="1"/>
  <c r="E2726" i="1"/>
  <c r="F2726" i="1"/>
  <c r="G2726" i="1"/>
  <c r="A2726" i="1"/>
  <c r="B2726" i="1"/>
  <c r="H2726" i="1"/>
  <c r="I2726" i="1"/>
  <c r="D228" i="1"/>
  <c r="E228" i="1"/>
  <c r="F228" i="1"/>
  <c r="G228" i="1"/>
  <c r="A228" i="1"/>
  <c r="B228" i="1"/>
  <c r="H228" i="1"/>
  <c r="I228" i="1"/>
  <c r="D2704" i="1"/>
  <c r="E2704" i="1"/>
  <c r="F2704" i="1"/>
  <c r="G2704" i="1"/>
  <c r="A2704" i="1"/>
  <c r="B2704" i="1"/>
  <c r="H2704" i="1"/>
  <c r="I2704" i="1"/>
  <c r="D244" i="1"/>
  <c r="E244" i="1"/>
  <c r="F244" i="1"/>
  <c r="G244" i="1"/>
  <c r="A244" i="1"/>
  <c r="B244" i="1"/>
  <c r="H244" i="1"/>
  <c r="I244" i="1"/>
  <c r="D245" i="1"/>
  <c r="E245" i="1"/>
  <c r="F245" i="1"/>
  <c r="G245" i="1"/>
  <c r="A245" i="1"/>
  <c r="B245" i="1"/>
  <c r="H245" i="1"/>
  <c r="I245" i="1"/>
  <c r="D10" i="1"/>
  <c r="E10" i="1"/>
  <c r="F10" i="1"/>
  <c r="G10" i="1"/>
  <c r="A10" i="1"/>
  <c r="B10" i="1"/>
  <c r="H10" i="1"/>
  <c r="I10" i="1"/>
  <c r="D232" i="1"/>
  <c r="E232" i="1"/>
  <c r="F232" i="1"/>
  <c r="G232" i="1"/>
  <c r="A232" i="1"/>
  <c r="B232" i="1"/>
  <c r="H232" i="1"/>
  <c r="I232" i="1"/>
  <c r="D9" i="1"/>
  <c r="E9" i="1"/>
  <c r="F9" i="1"/>
  <c r="G9" i="1"/>
  <c r="A9" i="1"/>
  <c r="B9" i="1"/>
  <c r="H9" i="1"/>
  <c r="I9" i="1"/>
  <c r="D13" i="1"/>
  <c r="E13" i="1"/>
  <c r="F13" i="1"/>
  <c r="G13" i="1"/>
  <c r="A13" i="1"/>
  <c r="B13" i="1"/>
  <c r="H13" i="1"/>
  <c r="I13" i="1"/>
  <c r="D235" i="1"/>
  <c r="E235" i="1"/>
  <c r="F235" i="1"/>
  <c r="G235" i="1"/>
  <c r="A235" i="1"/>
  <c r="B235" i="1"/>
  <c r="H235" i="1"/>
  <c r="I235" i="1"/>
  <c r="D11" i="1"/>
  <c r="E11" i="1"/>
  <c r="F11" i="1"/>
  <c r="G11" i="1"/>
  <c r="A11" i="1"/>
  <c r="B11" i="1"/>
  <c r="H11" i="1"/>
  <c r="I11" i="1"/>
  <c r="D231" i="1"/>
  <c r="E231" i="1"/>
  <c r="F231" i="1"/>
  <c r="G231" i="1"/>
  <c r="A231" i="1"/>
  <c r="B231" i="1"/>
  <c r="H231" i="1"/>
  <c r="I231" i="1"/>
  <c r="D735" i="1"/>
  <c r="E735" i="1"/>
  <c r="F735" i="1"/>
  <c r="G735" i="1"/>
  <c r="A735" i="1"/>
  <c r="B735" i="1"/>
  <c r="H735" i="1"/>
  <c r="I735" i="1"/>
  <c r="D2705" i="1"/>
  <c r="E2705" i="1"/>
  <c r="F2705" i="1"/>
  <c r="G2705" i="1"/>
  <c r="A2705" i="1"/>
  <c r="B2705" i="1"/>
  <c r="H2705" i="1"/>
  <c r="I2705" i="1"/>
  <c r="D229" i="1"/>
  <c r="E229" i="1"/>
  <c r="F229" i="1"/>
  <c r="G229" i="1"/>
  <c r="A229" i="1"/>
  <c r="B229" i="1"/>
  <c r="H229" i="1"/>
  <c r="I229" i="1"/>
  <c r="D236" i="1"/>
  <c r="E236" i="1"/>
  <c r="F236" i="1"/>
  <c r="G236" i="1"/>
  <c r="A236" i="1"/>
  <c r="B236" i="1"/>
  <c r="H236" i="1"/>
  <c r="I236" i="1"/>
  <c r="D14" i="1"/>
  <c r="E14" i="1"/>
  <c r="F14" i="1"/>
  <c r="G14" i="1"/>
  <c r="A14" i="1"/>
  <c r="B14" i="1"/>
  <c r="H14" i="1"/>
  <c r="I14" i="1"/>
  <c r="D230" i="1"/>
  <c r="E230" i="1"/>
  <c r="F230" i="1"/>
  <c r="G230" i="1"/>
  <c r="A230" i="1"/>
  <c r="B230" i="1"/>
  <c r="H230" i="1"/>
  <c r="I230" i="1"/>
  <c r="D237" i="1"/>
  <c r="E237" i="1"/>
  <c r="F237" i="1"/>
  <c r="G237" i="1"/>
  <c r="A237" i="1"/>
  <c r="B237" i="1"/>
  <c r="H237" i="1"/>
  <c r="I237" i="1"/>
  <c r="D240" i="1"/>
  <c r="E240" i="1"/>
  <c r="F240" i="1"/>
  <c r="G240" i="1"/>
  <c r="A240" i="1"/>
  <c r="B240" i="1"/>
  <c r="H240" i="1"/>
  <c r="I240" i="1"/>
  <c r="D242" i="1"/>
  <c r="E242" i="1"/>
  <c r="F242" i="1"/>
  <c r="G242" i="1"/>
  <c r="A242" i="1"/>
  <c r="B242" i="1"/>
  <c r="H242" i="1"/>
  <c r="I242" i="1"/>
  <c r="D3065" i="1"/>
  <c r="E3065" i="1"/>
  <c r="F3065" i="1"/>
  <c r="G3065" i="1"/>
  <c r="A3065" i="1"/>
  <c r="B3065" i="1"/>
  <c r="H3065" i="1"/>
  <c r="I3065" i="1"/>
  <c r="D2594" i="1"/>
  <c r="E2594" i="1"/>
  <c r="F2594" i="1"/>
  <c r="G2594" i="1"/>
  <c r="A2594" i="1"/>
  <c r="B2594" i="1"/>
  <c r="H2594" i="1"/>
  <c r="I2594" i="1"/>
  <c r="D22" i="1"/>
  <c r="E22" i="1"/>
  <c r="F22" i="1"/>
  <c r="G22" i="1"/>
  <c r="A22" i="1"/>
  <c r="B22" i="1"/>
  <c r="H22" i="1"/>
  <c r="I22" i="1"/>
  <c r="D1212" i="1"/>
  <c r="E1212" i="1"/>
  <c r="F1212" i="1"/>
  <c r="G1212" i="1"/>
  <c r="A1212" i="1"/>
  <c r="B1212" i="1"/>
  <c r="H1212" i="1"/>
  <c r="I1212" i="1"/>
  <c r="D3066" i="1"/>
  <c r="E3066" i="1"/>
  <c r="F3066" i="1"/>
  <c r="G3066" i="1"/>
  <c r="A3066" i="1"/>
  <c r="B3066" i="1"/>
  <c r="H3066" i="1"/>
  <c r="I3066" i="1"/>
  <c r="D23" i="1"/>
  <c r="E23" i="1"/>
  <c r="F23" i="1"/>
  <c r="G23" i="1"/>
  <c r="A23" i="1"/>
  <c r="B23" i="1"/>
  <c r="H23" i="1"/>
  <c r="I23" i="1"/>
  <c r="D24" i="1"/>
  <c r="E24" i="1"/>
  <c r="F24" i="1"/>
  <c r="G24" i="1"/>
  <c r="A24" i="1"/>
  <c r="B24" i="1"/>
  <c r="H24" i="1"/>
  <c r="I24" i="1"/>
  <c r="D25" i="1"/>
  <c r="E25" i="1"/>
  <c r="F25" i="1"/>
  <c r="G25" i="1"/>
  <c r="A25" i="1"/>
  <c r="B25" i="1"/>
  <c r="H25" i="1"/>
  <c r="I25" i="1"/>
  <c r="D26" i="1"/>
  <c r="E26" i="1"/>
  <c r="F26" i="1"/>
  <c r="G26" i="1"/>
  <c r="A26" i="1"/>
  <c r="B26" i="1"/>
  <c r="H26" i="1"/>
  <c r="I26" i="1"/>
  <c r="D27" i="1"/>
  <c r="E27" i="1"/>
  <c r="F27" i="1"/>
  <c r="G27" i="1"/>
  <c r="A27" i="1"/>
  <c r="B27" i="1"/>
  <c r="H27" i="1"/>
  <c r="I27" i="1"/>
  <c r="D29" i="1"/>
  <c r="E29" i="1"/>
  <c r="F29" i="1"/>
  <c r="G29" i="1"/>
  <c r="A29" i="1"/>
  <c r="B29" i="1"/>
  <c r="H29" i="1"/>
  <c r="I29" i="1"/>
  <c r="D37" i="1"/>
  <c r="E37" i="1"/>
  <c r="F37" i="1"/>
  <c r="G37" i="1"/>
  <c r="A37" i="1"/>
  <c r="B37" i="1"/>
  <c r="H37" i="1"/>
  <c r="I37" i="1"/>
  <c r="D34" i="1"/>
  <c r="E34" i="1"/>
  <c r="F34" i="1"/>
  <c r="G34" i="1"/>
  <c r="A34" i="1"/>
  <c r="B34" i="1"/>
  <c r="H34" i="1"/>
  <c r="I34" i="1"/>
  <c r="D315" i="1"/>
  <c r="E315" i="1"/>
  <c r="F315" i="1"/>
  <c r="G315" i="1"/>
  <c r="A315" i="1"/>
  <c r="B315" i="1"/>
  <c r="H315" i="1"/>
  <c r="I315" i="1"/>
  <c r="D30" i="1"/>
  <c r="E30" i="1"/>
  <c r="F30" i="1"/>
  <c r="G30" i="1"/>
  <c r="A30" i="1"/>
  <c r="B30" i="1"/>
  <c r="H30" i="1"/>
  <c r="I30" i="1"/>
  <c r="D35" i="1"/>
  <c r="E35" i="1"/>
  <c r="F35" i="1"/>
  <c r="G35" i="1"/>
  <c r="A35" i="1"/>
  <c r="B35" i="1"/>
  <c r="H35" i="1"/>
  <c r="I35" i="1"/>
  <c r="D40" i="1"/>
  <c r="E40" i="1"/>
  <c r="F40" i="1"/>
  <c r="G40" i="1"/>
  <c r="A40" i="1"/>
  <c r="B40" i="1"/>
  <c r="H40" i="1"/>
  <c r="I40" i="1"/>
  <c r="D31" i="1"/>
  <c r="E31" i="1"/>
  <c r="F31" i="1"/>
  <c r="G31" i="1"/>
  <c r="A31" i="1"/>
  <c r="B31" i="1"/>
  <c r="H31" i="1"/>
  <c r="I31" i="1"/>
  <c r="D1213" i="1"/>
  <c r="E1213" i="1"/>
  <c r="F1213" i="1"/>
  <c r="G1213" i="1"/>
  <c r="A1213" i="1"/>
  <c r="B1213" i="1"/>
  <c r="H1213" i="1"/>
  <c r="I1213" i="1"/>
  <c r="D38" i="1"/>
  <c r="E38" i="1"/>
  <c r="F38" i="1"/>
  <c r="G38" i="1"/>
  <c r="A38" i="1"/>
  <c r="B38" i="1"/>
  <c r="H38" i="1"/>
  <c r="I38" i="1"/>
  <c r="D36" i="1"/>
  <c r="E36" i="1"/>
  <c r="F36" i="1"/>
  <c r="G36" i="1"/>
  <c r="A36" i="1"/>
  <c r="B36" i="1"/>
  <c r="H36" i="1"/>
  <c r="I36" i="1"/>
  <c r="D2734" i="1"/>
  <c r="E2734" i="1"/>
  <c r="F2734" i="1"/>
  <c r="G2734" i="1"/>
  <c r="A2734" i="1"/>
  <c r="B2734" i="1"/>
  <c r="H2734" i="1"/>
  <c r="I2734" i="1"/>
  <c r="D316" i="1"/>
  <c r="E316" i="1"/>
  <c r="F316" i="1"/>
  <c r="G316" i="1"/>
  <c r="A316" i="1"/>
  <c r="B316" i="1"/>
  <c r="H316" i="1"/>
  <c r="I316" i="1"/>
  <c r="D20" i="1"/>
  <c r="E20" i="1"/>
  <c r="F20" i="1"/>
  <c r="G20" i="1"/>
  <c r="A20" i="1"/>
  <c r="B20" i="1"/>
  <c r="H20" i="1"/>
  <c r="I20" i="1"/>
  <c r="D28" i="1"/>
  <c r="E28" i="1"/>
  <c r="F28" i="1"/>
  <c r="G28" i="1"/>
  <c r="A28" i="1"/>
  <c r="B28" i="1"/>
  <c r="H28" i="1"/>
  <c r="I28" i="1"/>
  <c r="D32" i="1"/>
  <c r="E32" i="1"/>
  <c r="F32" i="1"/>
  <c r="G32" i="1"/>
  <c r="A32" i="1"/>
  <c r="B32" i="1"/>
  <c r="H32" i="1"/>
  <c r="I32" i="1"/>
  <c r="D314" i="1"/>
  <c r="E314" i="1"/>
  <c r="F314" i="1"/>
  <c r="G314" i="1"/>
  <c r="A314" i="1"/>
  <c r="B314" i="1"/>
  <c r="H314" i="1"/>
  <c r="I314" i="1"/>
  <c r="D19" i="1"/>
  <c r="E19" i="1"/>
  <c r="F19" i="1"/>
  <c r="G19" i="1"/>
  <c r="A19" i="1"/>
  <c r="B19" i="1"/>
  <c r="H19" i="1"/>
  <c r="I19" i="1"/>
  <c r="D21" i="1"/>
  <c r="E21" i="1"/>
  <c r="F21" i="1"/>
  <c r="G21" i="1"/>
  <c r="A21" i="1"/>
  <c r="B21" i="1"/>
  <c r="H21" i="1"/>
  <c r="I21" i="1"/>
  <c r="D39" i="1"/>
  <c r="E39" i="1"/>
  <c r="F39" i="1"/>
  <c r="G39" i="1"/>
  <c r="A39" i="1"/>
  <c r="B39" i="1"/>
  <c r="H39" i="1"/>
  <c r="I39" i="1"/>
  <c r="D33" i="1"/>
  <c r="E33" i="1"/>
  <c r="F33" i="1"/>
  <c r="G33" i="1"/>
  <c r="A33" i="1"/>
  <c r="B33" i="1"/>
  <c r="H33" i="1"/>
  <c r="I33" i="1"/>
  <c r="D317" i="1"/>
  <c r="E317" i="1"/>
  <c r="F317" i="1"/>
  <c r="G317" i="1"/>
  <c r="A317" i="1"/>
  <c r="B317" i="1"/>
  <c r="H317" i="1"/>
  <c r="I317" i="1"/>
  <c r="D1214" i="1"/>
  <c r="E1214" i="1"/>
  <c r="F1214" i="1"/>
  <c r="G1214" i="1"/>
  <c r="A1214" i="1"/>
  <c r="B1214" i="1"/>
  <c r="H1214" i="1"/>
  <c r="I1214" i="1"/>
  <c r="D1215" i="1"/>
  <c r="E1215" i="1"/>
  <c r="F1215" i="1"/>
  <c r="G1215" i="1"/>
  <c r="A1215" i="1"/>
  <c r="B1215" i="1"/>
  <c r="H1215" i="1"/>
  <c r="I1215" i="1"/>
  <c r="D1352" i="1"/>
  <c r="E1352" i="1"/>
  <c r="F1352" i="1"/>
  <c r="G1352" i="1"/>
  <c r="A1352" i="1"/>
  <c r="B1352" i="1"/>
  <c r="H1352" i="1"/>
  <c r="I1352" i="1"/>
  <c r="D1351" i="1"/>
  <c r="E1351" i="1"/>
  <c r="F1351" i="1"/>
  <c r="G1351" i="1"/>
  <c r="A1351" i="1"/>
  <c r="B1351" i="1"/>
  <c r="H1351" i="1"/>
  <c r="I1351" i="1"/>
  <c r="D1349" i="1"/>
  <c r="E1349" i="1"/>
  <c r="F1349" i="1"/>
  <c r="G1349" i="1"/>
  <c r="A1349" i="1"/>
  <c r="B1349" i="1"/>
  <c r="H1349" i="1"/>
  <c r="I1349" i="1"/>
  <c r="D43" i="1"/>
  <c r="E43" i="1"/>
  <c r="F43" i="1"/>
  <c r="G43" i="1"/>
  <c r="A43" i="1"/>
  <c r="B43" i="1"/>
  <c r="H43" i="1"/>
  <c r="I43" i="1"/>
  <c r="D2880" i="1"/>
  <c r="E2880" i="1"/>
  <c r="F2880" i="1"/>
  <c r="G2880" i="1"/>
  <c r="A2880" i="1"/>
  <c r="B2880" i="1"/>
  <c r="H2880" i="1"/>
  <c r="I2880" i="1"/>
  <c r="D2693" i="1"/>
  <c r="E2693" i="1"/>
  <c r="F2693" i="1"/>
  <c r="G2693" i="1"/>
  <c r="A2693" i="1"/>
  <c r="B2693" i="1"/>
  <c r="H2693" i="1"/>
  <c r="I2693" i="1"/>
  <c r="D41" i="1"/>
  <c r="E41" i="1"/>
  <c r="F41" i="1"/>
  <c r="G41" i="1"/>
  <c r="A41" i="1"/>
  <c r="B41" i="1"/>
  <c r="H41" i="1"/>
  <c r="I41" i="1"/>
  <c r="D1838" i="1"/>
  <c r="E1838" i="1"/>
  <c r="F1838" i="1"/>
  <c r="G1838" i="1"/>
  <c r="A1838" i="1"/>
  <c r="B1838" i="1"/>
  <c r="H1838" i="1"/>
  <c r="I1838" i="1"/>
  <c r="D2692" i="1"/>
  <c r="E2692" i="1"/>
  <c r="F2692" i="1"/>
  <c r="G2692" i="1"/>
  <c r="A2692" i="1"/>
  <c r="B2692" i="1"/>
  <c r="H2692" i="1"/>
  <c r="I2692" i="1"/>
  <c r="D47" i="1"/>
  <c r="E47" i="1"/>
  <c r="F47" i="1"/>
  <c r="G47" i="1"/>
  <c r="A47" i="1"/>
  <c r="B47" i="1"/>
  <c r="H47" i="1"/>
  <c r="I47" i="1"/>
  <c r="D2806" i="1"/>
  <c r="E2806" i="1"/>
  <c r="F2806" i="1"/>
  <c r="G2806" i="1"/>
  <c r="A2806" i="1"/>
  <c r="B2806" i="1"/>
  <c r="H2806" i="1"/>
  <c r="I2806" i="1"/>
  <c r="D42" i="1"/>
  <c r="E42" i="1"/>
  <c r="F42" i="1"/>
  <c r="G42" i="1"/>
  <c r="A42" i="1"/>
  <c r="B42" i="1"/>
  <c r="H42" i="1"/>
  <c r="I42" i="1"/>
  <c r="D45" i="1"/>
  <c r="E45" i="1"/>
  <c r="F45" i="1"/>
  <c r="G45" i="1"/>
  <c r="A45" i="1"/>
  <c r="B45" i="1"/>
  <c r="H45" i="1"/>
  <c r="I45" i="1"/>
  <c r="D44" i="1"/>
  <c r="E44" i="1"/>
  <c r="F44" i="1"/>
  <c r="G44" i="1"/>
  <c r="A44" i="1"/>
  <c r="B44" i="1"/>
  <c r="H44" i="1"/>
  <c r="I44" i="1"/>
  <c r="D46" i="1"/>
  <c r="E46" i="1"/>
  <c r="F46" i="1"/>
  <c r="G46" i="1"/>
  <c r="A46" i="1"/>
  <c r="B46" i="1"/>
  <c r="H46" i="1"/>
  <c r="I46" i="1"/>
  <c r="D1350" i="1"/>
  <c r="E1350" i="1"/>
  <c r="F1350" i="1"/>
  <c r="G1350" i="1"/>
  <c r="A1350" i="1"/>
  <c r="B1350" i="1"/>
  <c r="H1350" i="1"/>
  <c r="I1350" i="1"/>
  <c r="D2336" i="1"/>
  <c r="E2336" i="1"/>
  <c r="F2336" i="1"/>
  <c r="G2336" i="1"/>
  <c r="A2336" i="1"/>
  <c r="B2336" i="1"/>
  <c r="H2336" i="1"/>
  <c r="I2336" i="1"/>
  <c r="D1058" i="1"/>
  <c r="E1058" i="1"/>
  <c r="F1058" i="1"/>
  <c r="G1058" i="1"/>
  <c r="A1058" i="1"/>
  <c r="B1058" i="1"/>
  <c r="H1058" i="1"/>
  <c r="I1058" i="1"/>
  <c r="D85" i="1"/>
  <c r="E85" i="1"/>
  <c r="F85" i="1"/>
  <c r="G85" i="1"/>
  <c r="A85" i="1"/>
  <c r="B85" i="1"/>
  <c r="H85" i="1"/>
  <c r="I85" i="1"/>
  <c r="D1055" i="1"/>
  <c r="E1055" i="1"/>
  <c r="F1055" i="1"/>
  <c r="G1055" i="1"/>
  <c r="A1055" i="1"/>
  <c r="B1055" i="1"/>
  <c r="H1055" i="1"/>
  <c r="I1055" i="1"/>
  <c r="D1059" i="1"/>
  <c r="E1059" i="1"/>
  <c r="F1059" i="1"/>
  <c r="G1059" i="1"/>
  <c r="A1059" i="1"/>
  <c r="B1059" i="1"/>
  <c r="H1059" i="1"/>
  <c r="I1059" i="1"/>
  <c r="D1057" i="1"/>
  <c r="E1057" i="1"/>
  <c r="F1057" i="1"/>
  <c r="G1057" i="1"/>
  <c r="A1057" i="1"/>
  <c r="B1057" i="1"/>
  <c r="H1057" i="1"/>
  <c r="I1057" i="1"/>
  <c r="D95" i="1"/>
  <c r="E95" i="1"/>
  <c r="F95" i="1"/>
  <c r="G95" i="1"/>
  <c r="A95" i="1"/>
  <c r="B95" i="1"/>
  <c r="H95" i="1"/>
  <c r="I95" i="1"/>
  <c r="D96" i="1"/>
  <c r="E96" i="1"/>
  <c r="F96" i="1"/>
  <c r="G96" i="1"/>
  <c r="A96" i="1"/>
  <c r="B96" i="1"/>
  <c r="H96" i="1"/>
  <c r="I96" i="1"/>
  <c r="D79" i="1"/>
  <c r="E79" i="1"/>
  <c r="F79" i="1"/>
  <c r="G79" i="1"/>
  <c r="A79" i="1"/>
  <c r="B79" i="1"/>
  <c r="H79" i="1"/>
  <c r="I79" i="1"/>
  <c r="D82" i="1"/>
  <c r="E82" i="1"/>
  <c r="F82" i="1"/>
  <c r="G82" i="1"/>
  <c r="A82" i="1"/>
  <c r="B82" i="1"/>
  <c r="H82" i="1"/>
  <c r="I82" i="1"/>
  <c r="D81" i="1"/>
  <c r="E81" i="1"/>
  <c r="F81" i="1"/>
  <c r="G81" i="1"/>
  <c r="A81" i="1"/>
  <c r="B81" i="1"/>
  <c r="H81" i="1"/>
  <c r="I81" i="1"/>
  <c r="D78" i="1"/>
  <c r="E78" i="1"/>
  <c r="F78" i="1"/>
  <c r="G78" i="1"/>
  <c r="A78" i="1"/>
  <c r="B78" i="1"/>
  <c r="H78" i="1"/>
  <c r="I78" i="1"/>
  <c r="D80" i="1"/>
  <c r="E80" i="1"/>
  <c r="F80" i="1"/>
  <c r="G80" i="1"/>
  <c r="A80" i="1"/>
  <c r="B80" i="1"/>
  <c r="H80" i="1"/>
  <c r="I80" i="1"/>
  <c r="D83" i="1"/>
  <c r="E83" i="1"/>
  <c r="F83" i="1"/>
  <c r="G83" i="1"/>
  <c r="A83" i="1"/>
  <c r="B83" i="1"/>
  <c r="H83" i="1"/>
  <c r="I83" i="1"/>
  <c r="D86" i="1"/>
  <c r="E86" i="1"/>
  <c r="F86" i="1"/>
  <c r="G86" i="1"/>
  <c r="A86" i="1"/>
  <c r="B86" i="1"/>
  <c r="H86" i="1"/>
  <c r="I86" i="1"/>
  <c r="D84" i="1"/>
  <c r="E84" i="1"/>
  <c r="F84" i="1"/>
  <c r="G84" i="1"/>
  <c r="A84" i="1"/>
  <c r="B84" i="1"/>
  <c r="H84" i="1"/>
  <c r="I84" i="1"/>
  <c r="D395" i="1"/>
  <c r="E395" i="1"/>
  <c r="F395" i="1"/>
  <c r="G395" i="1"/>
  <c r="A395" i="1"/>
  <c r="B395" i="1"/>
  <c r="H395" i="1"/>
  <c r="I395" i="1"/>
  <c r="D2449" i="1"/>
  <c r="E2449" i="1"/>
  <c r="F2449" i="1"/>
  <c r="G2449" i="1"/>
  <c r="A2449" i="1"/>
  <c r="B2449" i="1"/>
  <c r="H2449" i="1"/>
  <c r="I2449" i="1"/>
  <c r="D105" i="1"/>
  <c r="E105" i="1"/>
  <c r="F105" i="1"/>
  <c r="G105" i="1"/>
  <c r="A105" i="1"/>
  <c r="B105" i="1"/>
  <c r="H105" i="1"/>
  <c r="I105" i="1"/>
  <c r="D104" i="1"/>
  <c r="E104" i="1"/>
  <c r="F104" i="1"/>
  <c r="G104" i="1"/>
  <c r="A104" i="1"/>
  <c r="B104" i="1"/>
  <c r="H104" i="1"/>
  <c r="I104" i="1"/>
  <c r="D3125" i="1"/>
  <c r="E3125" i="1"/>
  <c r="F3125" i="1"/>
  <c r="G3125" i="1"/>
  <c r="A3125" i="1"/>
  <c r="B3125" i="1"/>
  <c r="H3125" i="1"/>
  <c r="I3125" i="1"/>
  <c r="D103" i="1"/>
  <c r="E103" i="1"/>
  <c r="F103" i="1"/>
  <c r="G103" i="1"/>
  <c r="A103" i="1"/>
  <c r="B103" i="1"/>
  <c r="H103" i="1"/>
  <c r="I103" i="1"/>
  <c r="D2856" i="1"/>
  <c r="E2856" i="1"/>
  <c r="F2856" i="1"/>
  <c r="G2856" i="1"/>
  <c r="A2856" i="1"/>
  <c r="B2856" i="1"/>
  <c r="H2856" i="1"/>
  <c r="I2856" i="1"/>
  <c r="D2857" i="1"/>
  <c r="E2857" i="1"/>
  <c r="F2857" i="1"/>
  <c r="G2857" i="1"/>
  <c r="A2857" i="1"/>
  <c r="B2857" i="1"/>
  <c r="H2857" i="1"/>
  <c r="I2857" i="1"/>
  <c r="D102" i="1"/>
  <c r="E102" i="1"/>
  <c r="F102" i="1"/>
  <c r="G102" i="1"/>
  <c r="A102" i="1"/>
  <c r="B102" i="1"/>
  <c r="H102" i="1"/>
  <c r="I102" i="1"/>
  <c r="D2450" i="1"/>
  <c r="E2450" i="1"/>
  <c r="F2450" i="1"/>
  <c r="G2450" i="1"/>
  <c r="A2450" i="1"/>
  <c r="B2450" i="1"/>
  <c r="H2450" i="1"/>
  <c r="I2450" i="1"/>
  <c r="D3292" i="1"/>
  <c r="E3292" i="1"/>
  <c r="F3292" i="1"/>
  <c r="G3292" i="1"/>
  <c r="A3292" i="1"/>
  <c r="B3292" i="1"/>
  <c r="H3292" i="1"/>
  <c r="I3292" i="1"/>
  <c r="D2486" i="1"/>
  <c r="E2486" i="1"/>
  <c r="F2486" i="1"/>
  <c r="G2486" i="1"/>
  <c r="A2486" i="1"/>
  <c r="B2486" i="1"/>
  <c r="H2486" i="1"/>
  <c r="I2486" i="1"/>
  <c r="D2480" i="1"/>
  <c r="E2480" i="1"/>
  <c r="F2480" i="1"/>
  <c r="G2480" i="1"/>
  <c r="A2480" i="1"/>
  <c r="B2480" i="1"/>
  <c r="H2480" i="1"/>
  <c r="I2480" i="1"/>
  <c r="D3124" i="1"/>
  <c r="E3124" i="1"/>
  <c r="F3124" i="1"/>
  <c r="G3124" i="1"/>
  <c r="A3124" i="1"/>
  <c r="B3124" i="1"/>
  <c r="H3124" i="1"/>
  <c r="I3124" i="1"/>
  <c r="D164" i="1"/>
  <c r="E164" i="1"/>
  <c r="F164" i="1"/>
  <c r="G164" i="1"/>
  <c r="A164" i="1"/>
  <c r="B164" i="1"/>
  <c r="H164" i="1"/>
  <c r="I164" i="1"/>
  <c r="D185" i="1"/>
  <c r="E185" i="1"/>
  <c r="F185" i="1"/>
  <c r="G185" i="1"/>
  <c r="A185" i="1"/>
  <c r="B185" i="1"/>
  <c r="H185" i="1"/>
  <c r="I185" i="1"/>
  <c r="D1710" i="1"/>
  <c r="E1710" i="1"/>
  <c r="F1710" i="1"/>
  <c r="G1710" i="1"/>
  <c r="A1710" i="1"/>
  <c r="B1710" i="1"/>
  <c r="H1710" i="1"/>
  <c r="I1710" i="1"/>
  <c r="D178" i="1"/>
  <c r="E178" i="1"/>
  <c r="F178" i="1"/>
  <c r="G178" i="1"/>
  <c r="A178" i="1"/>
  <c r="B178" i="1"/>
  <c r="H178" i="1"/>
  <c r="I178" i="1"/>
  <c r="D302" i="1"/>
  <c r="E302" i="1"/>
  <c r="F302" i="1"/>
  <c r="G302" i="1"/>
  <c r="A302" i="1"/>
  <c r="B302" i="1"/>
  <c r="H302" i="1"/>
  <c r="I302" i="1"/>
  <c r="D3063" i="1"/>
  <c r="E3063" i="1"/>
  <c r="F3063" i="1"/>
  <c r="G3063" i="1"/>
  <c r="A3063" i="1"/>
  <c r="B3063" i="1"/>
  <c r="H3063" i="1"/>
  <c r="I3063" i="1"/>
  <c r="D180" i="1"/>
  <c r="E180" i="1"/>
  <c r="F180" i="1"/>
  <c r="G180" i="1"/>
  <c r="A180" i="1"/>
  <c r="B180" i="1"/>
  <c r="H180" i="1"/>
  <c r="I180" i="1"/>
  <c r="D1709" i="1"/>
  <c r="E1709" i="1"/>
  <c r="F1709" i="1"/>
  <c r="G1709" i="1"/>
  <c r="A1709" i="1"/>
  <c r="B1709" i="1"/>
  <c r="H1709" i="1"/>
  <c r="I1709" i="1"/>
  <c r="D169" i="1"/>
  <c r="E169" i="1"/>
  <c r="F169" i="1"/>
  <c r="G169" i="1"/>
  <c r="A169" i="1"/>
  <c r="B169" i="1"/>
  <c r="H169" i="1"/>
  <c r="I169" i="1"/>
  <c r="D170" i="1"/>
  <c r="E170" i="1"/>
  <c r="F170" i="1"/>
  <c r="G170" i="1"/>
  <c r="A170" i="1"/>
  <c r="B170" i="1"/>
  <c r="H170" i="1"/>
  <c r="I170" i="1"/>
  <c r="D161" i="1"/>
  <c r="E161" i="1"/>
  <c r="F161" i="1"/>
  <c r="G161" i="1"/>
  <c r="A161" i="1"/>
  <c r="B161" i="1"/>
  <c r="H161" i="1"/>
  <c r="I161" i="1"/>
  <c r="D173" i="1"/>
  <c r="E173" i="1"/>
  <c r="F173" i="1"/>
  <c r="G173" i="1"/>
  <c r="A173" i="1"/>
  <c r="B173" i="1"/>
  <c r="H173" i="1"/>
  <c r="I173" i="1"/>
  <c r="D174" i="1"/>
  <c r="E174" i="1"/>
  <c r="F174" i="1"/>
  <c r="G174" i="1"/>
  <c r="A174" i="1"/>
  <c r="B174" i="1"/>
  <c r="H174" i="1"/>
  <c r="I174" i="1"/>
  <c r="D181" i="1"/>
  <c r="E181" i="1"/>
  <c r="F181" i="1"/>
  <c r="G181" i="1"/>
  <c r="A181" i="1"/>
  <c r="B181" i="1"/>
  <c r="H181" i="1"/>
  <c r="I181" i="1"/>
  <c r="D177" i="1"/>
  <c r="E177" i="1"/>
  <c r="F177" i="1"/>
  <c r="G177" i="1"/>
  <c r="A177" i="1"/>
  <c r="B177" i="1"/>
  <c r="H177" i="1"/>
  <c r="I177" i="1"/>
  <c r="D171" i="1"/>
  <c r="E171" i="1"/>
  <c r="F171" i="1"/>
  <c r="G171" i="1"/>
  <c r="A171" i="1"/>
  <c r="B171" i="1"/>
  <c r="H171" i="1"/>
  <c r="I171" i="1"/>
  <c r="D299" i="1"/>
  <c r="E299" i="1"/>
  <c r="F299" i="1"/>
  <c r="G299" i="1"/>
  <c r="A299" i="1"/>
  <c r="B299" i="1"/>
  <c r="H299" i="1"/>
  <c r="I299" i="1"/>
  <c r="D190" i="1"/>
  <c r="E190" i="1"/>
  <c r="F190" i="1"/>
  <c r="G190" i="1"/>
  <c r="A190" i="1"/>
  <c r="B190" i="1"/>
  <c r="H190" i="1"/>
  <c r="I190" i="1"/>
  <c r="D303" i="1"/>
  <c r="E303" i="1"/>
  <c r="F303" i="1"/>
  <c r="G303" i="1"/>
  <c r="A303" i="1"/>
  <c r="B303" i="1"/>
  <c r="H303" i="1"/>
  <c r="I303" i="1"/>
  <c r="D2326" i="1"/>
  <c r="E2326" i="1"/>
  <c r="F2326" i="1"/>
  <c r="G2326" i="1"/>
  <c r="A2326" i="1"/>
  <c r="B2326" i="1"/>
  <c r="H2326" i="1"/>
  <c r="I2326" i="1"/>
  <c r="D176" i="1"/>
  <c r="E176" i="1"/>
  <c r="F176" i="1"/>
  <c r="G176" i="1"/>
  <c r="A176" i="1"/>
  <c r="B176" i="1"/>
  <c r="H176" i="1"/>
  <c r="I176" i="1"/>
  <c r="D296" i="1"/>
  <c r="E296" i="1"/>
  <c r="F296" i="1"/>
  <c r="G296" i="1"/>
  <c r="A296" i="1"/>
  <c r="B296" i="1"/>
  <c r="H296" i="1"/>
  <c r="I296" i="1"/>
  <c r="D2325" i="1"/>
  <c r="E2325" i="1"/>
  <c r="F2325" i="1"/>
  <c r="G2325" i="1"/>
  <c r="A2325" i="1"/>
  <c r="B2325" i="1"/>
  <c r="H2325" i="1"/>
  <c r="I2325" i="1"/>
  <c r="D297" i="1"/>
  <c r="E297" i="1"/>
  <c r="F297" i="1"/>
  <c r="G297" i="1"/>
  <c r="A297" i="1"/>
  <c r="B297" i="1"/>
  <c r="H297" i="1"/>
  <c r="I297" i="1"/>
  <c r="D192" i="1"/>
  <c r="E192" i="1"/>
  <c r="F192" i="1"/>
  <c r="G192" i="1"/>
  <c r="A192" i="1"/>
  <c r="B192" i="1"/>
  <c r="H192" i="1"/>
  <c r="I192" i="1"/>
  <c r="D3181" i="1"/>
  <c r="E3181" i="1"/>
  <c r="F3181" i="1"/>
  <c r="G3181" i="1"/>
  <c r="A3181" i="1"/>
  <c r="B3181" i="1"/>
  <c r="H3181" i="1"/>
  <c r="I3181" i="1"/>
  <c r="D3183" i="1"/>
  <c r="E3183" i="1"/>
  <c r="F3183" i="1"/>
  <c r="G3183" i="1"/>
  <c r="A3183" i="1"/>
  <c r="B3183" i="1"/>
  <c r="H3183" i="1"/>
  <c r="I3183" i="1"/>
  <c r="D168" i="1"/>
  <c r="E168" i="1"/>
  <c r="F168" i="1"/>
  <c r="G168" i="1"/>
  <c r="A168" i="1"/>
  <c r="B168" i="1"/>
  <c r="H168" i="1"/>
  <c r="I168" i="1"/>
  <c r="D301" i="1"/>
  <c r="E301" i="1"/>
  <c r="F301" i="1"/>
  <c r="G301" i="1"/>
  <c r="A301" i="1"/>
  <c r="B301" i="1"/>
  <c r="H301" i="1"/>
  <c r="I301" i="1"/>
  <c r="D295" i="1"/>
  <c r="E295" i="1"/>
  <c r="F295" i="1"/>
  <c r="G295" i="1"/>
  <c r="A295" i="1"/>
  <c r="B295" i="1"/>
  <c r="H295" i="1"/>
  <c r="I295" i="1"/>
  <c r="D188" i="1"/>
  <c r="E188" i="1"/>
  <c r="F188" i="1"/>
  <c r="G188" i="1"/>
  <c r="A188" i="1"/>
  <c r="B188" i="1"/>
  <c r="H188" i="1"/>
  <c r="I188" i="1"/>
  <c r="D166" i="1"/>
  <c r="E166" i="1"/>
  <c r="F166" i="1"/>
  <c r="G166" i="1"/>
  <c r="A166" i="1"/>
  <c r="B166" i="1"/>
  <c r="H166" i="1"/>
  <c r="I166" i="1"/>
  <c r="D172" i="1"/>
  <c r="E172" i="1"/>
  <c r="F172" i="1"/>
  <c r="G172" i="1"/>
  <c r="A172" i="1"/>
  <c r="B172" i="1"/>
  <c r="H172" i="1"/>
  <c r="I172" i="1"/>
  <c r="D159" i="1"/>
  <c r="E159" i="1"/>
  <c r="F159" i="1"/>
  <c r="G159" i="1"/>
  <c r="A159" i="1"/>
  <c r="B159" i="1"/>
  <c r="H159" i="1"/>
  <c r="I159" i="1"/>
  <c r="D184" i="1"/>
  <c r="E184" i="1"/>
  <c r="F184" i="1"/>
  <c r="G184" i="1"/>
  <c r="A184" i="1"/>
  <c r="B184" i="1"/>
  <c r="H184" i="1"/>
  <c r="I184" i="1"/>
  <c r="D183" i="1"/>
  <c r="E183" i="1"/>
  <c r="F183" i="1"/>
  <c r="G183" i="1"/>
  <c r="A183" i="1"/>
  <c r="B183" i="1"/>
  <c r="H183" i="1"/>
  <c r="I183" i="1"/>
  <c r="D189" i="1"/>
  <c r="E189" i="1"/>
  <c r="F189" i="1"/>
  <c r="G189" i="1"/>
  <c r="A189" i="1"/>
  <c r="B189" i="1"/>
  <c r="H189" i="1"/>
  <c r="I189" i="1"/>
  <c r="D165" i="1"/>
  <c r="E165" i="1"/>
  <c r="F165" i="1"/>
  <c r="G165" i="1"/>
  <c r="A165" i="1"/>
  <c r="B165" i="1"/>
  <c r="H165" i="1"/>
  <c r="I165" i="1"/>
  <c r="D1265" i="1"/>
  <c r="E1265" i="1"/>
  <c r="F1265" i="1"/>
  <c r="G1265" i="1"/>
  <c r="A1265" i="1"/>
  <c r="B1265" i="1"/>
  <c r="H1265" i="1"/>
  <c r="I1265" i="1"/>
  <c r="D191" i="1"/>
  <c r="E191" i="1"/>
  <c r="F191" i="1"/>
  <c r="G191" i="1"/>
  <c r="A191" i="1"/>
  <c r="B191" i="1"/>
  <c r="H191" i="1"/>
  <c r="I191" i="1"/>
  <c r="D2732" i="1"/>
  <c r="E2732" i="1"/>
  <c r="F2732" i="1"/>
  <c r="G2732" i="1"/>
  <c r="A2732" i="1"/>
  <c r="B2732" i="1"/>
  <c r="H2732" i="1"/>
  <c r="I2732" i="1"/>
  <c r="D3180" i="1"/>
  <c r="E3180" i="1"/>
  <c r="F3180" i="1"/>
  <c r="G3180" i="1"/>
  <c r="A3180" i="1"/>
  <c r="B3180" i="1"/>
  <c r="H3180" i="1"/>
  <c r="I3180" i="1"/>
  <c r="D3182" i="1"/>
  <c r="E3182" i="1"/>
  <c r="F3182" i="1"/>
  <c r="G3182" i="1"/>
  <c r="A3182" i="1"/>
  <c r="B3182" i="1"/>
  <c r="H3182" i="1"/>
  <c r="I3182" i="1"/>
  <c r="D162" i="1"/>
  <c r="E162" i="1"/>
  <c r="F162" i="1"/>
  <c r="G162" i="1"/>
  <c r="A162" i="1"/>
  <c r="B162" i="1"/>
  <c r="H162" i="1"/>
  <c r="I162" i="1"/>
  <c r="D1711" i="1"/>
  <c r="E1711" i="1"/>
  <c r="F1711" i="1"/>
  <c r="G1711" i="1"/>
  <c r="A1711" i="1"/>
  <c r="B1711" i="1"/>
  <c r="H1711" i="1"/>
  <c r="I1711" i="1"/>
  <c r="D158" i="1"/>
  <c r="E158" i="1"/>
  <c r="F158" i="1"/>
  <c r="G158" i="1"/>
  <c r="A158" i="1"/>
  <c r="B158" i="1"/>
  <c r="H158" i="1"/>
  <c r="I158" i="1"/>
  <c r="D182" i="1"/>
  <c r="E182" i="1"/>
  <c r="F182" i="1"/>
  <c r="G182" i="1"/>
  <c r="A182" i="1"/>
  <c r="B182" i="1"/>
  <c r="H182" i="1"/>
  <c r="I182" i="1"/>
  <c r="D163" i="1"/>
  <c r="E163" i="1"/>
  <c r="F163" i="1"/>
  <c r="G163" i="1"/>
  <c r="A163" i="1"/>
  <c r="B163" i="1"/>
  <c r="H163" i="1"/>
  <c r="I163" i="1"/>
  <c r="D298" i="1"/>
  <c r="E298" i="1"/>
  <c r="F298" i="1"/>
  <c r="G298" i="1"/>
  <c r="A298" i="1"/>
  <c r="B298" i="1"/>
  <c r="H298" i="1"/>
  <c r="I298" i="1"/>
  <c r="D186" i="1"/>
  <c r="E186" i="1"/>
  <c r="F186" i="1"/>
  <c r="G186" i="1"/>
  <c r="A186" i="1"/>
  <c r="B186" i="1"/>
  <c r="H186" i="1"/>
  <c r="I186" i="1"/>
  <c r="D2324" i="1"/>
  <c r="E2324" i="1"/>
  <c r="F2324" i="1"/>
  <c r="G2324" i="1"/>
  <c r="A2324" i="1"/>
  <c r="B2324" i="1"/>
  <c r="H2324" i="1"/>
  <c r="I2324" i="1"/>
  <c r="D300" i="1"/>
  <c r="E300" i="1"/>
  <c r="F300" i="1"/>
  <c r="G300" i="1"/>
  <c r="A300" i="1"/>
  <c r="B300" i="1"/>
  <c r="H300" i="1"/>
  <c r="I300" i="1"/>
  <c r="D167" i="1"/>
  <c r="E167" i="1"/>
  <c r="F167" i="1"/>
  <c r="G167" i="1"/>
  <c r="A167" i="1"/>
  <c r="B167" i="1"/>
  <c r="H167" i="1"/>
  <c r="I167" i="1"/>
  <c r="D187" i="1"/>
  <c r="E187" i="1"/>
  <c r="F187" i="1"/>
  <c r="G187" i="1"/>
  <c r="A187" i="1"/>
  <c r="B187" i="1"/>
  <c r="H187" i="1"/>
  <c r="I187" i="1"/>
  <c r="D160" i="1"/>
  <c r="E160" i="1"/>
  <c r="F160" i="1"/>
  <c r="G160" i="1"/>
  <c r="A160" i="1"/>
  <c r="B160" i="1"/>
  <c r="H160" i="1"/>
  <c r="I160" i="1"/>
  <c r="D175" i="1"/>
  <c r="E175" i="1"/>
  <c r="F175" i="1"/>
  <c r="G175" i="1"/>
  <c r="A175" i="1"/>
  <c r="B175" i="1"/>
  <c r="H175" i="1"/>
  <c r="I175" i="1"/>
  <c r="D179" i="1"/>
  <c r="E179" i="1"/>
  <c r="F179" i="1"/>
  <c r="G179" i="1"/>
  <c r="A179" i="1"/>
  <c r="B179" i="1"/>
  <c r="H179" i="1"/>
  <c r="I179" i="1"/>
  <c r="D2815" i="1"/>
  <c r="E2815" i="1"/>
  <c r="F2815" i="1"/>
  <c r="G2815" i="1"/>
  <c r="A2815" i="1"/>
  <c r="B2815" i="1"/>
  <c r="H2815" i="1"/>
  <c r="I2815" i="1"/>
  <c r="D1507" i="1"/>
  <c r="E1507" i="1"/>
  <c r="F1507" i="1"/>
  <c r="G1507" i="1"/>
  <c r="A1507" i="1"/>
  <c r="B1507" i="1"/>
  <c r="H1507" i="1"/>
  <c r="I1507" i="1"/>
  <c r="D1508" i="1"/>
  <c r="E1508" i="1"/>
  <c r="F1508" i="1"/>
  <c r="G1508" i="1"/>
  <c r="A1508" i="1"/>
  <c r="B1508" i="1"/>
  <c r="H1508" i="1"/>
  <c r="I1508" i="1"/>
  <c r="D618" i="1"/>
  <c r="E618" i="1"/>
  <c r="F618" i="1"/>
  <c r="G618" i="1"/>
  <c r="A618" i="1"/>
  <c r="B618" i="1"/>
  <c r="H618" i="1"/>
  <c r="I618" i="1"/>
  <c r="D2767" i="1"/>
  <c r="E2767" i="1"/>
  <c r="F2767" i="1"/>
  <c r="G2767" i="1"/>
  <c r="A2767" i="1"/>
  <c r="B2767" i="1"/>
  <c r="H2767" i="1"/>
  <c r="I2767" i="1"/>
  <c r="D2756" i="1"/>
  <c r="E2756" i="1"/>
  <c r="F2756" i="1"/>
  <c r="G2756" i="1"/>
  <c r="A2756" i="1"/>
  <c r="B2756" i="1"/>
  <c r="H2756" i="1"/>
  <c r="I2756" i="1"/>
  <c r="D2772" i="1"/>
  <c r="E2772" i="1"/>
  <c r="F2772" i="1"/>
  <c r="G2772" i="1"/>
  <c r="A2772" i="1"/>
  <c r="B2772" i="1"/>
  <c r="H2772" i="1"/>
  <c r="I2772" i="1"/>
  <c r="D1511" i="1"/>
  <c r="E1511" i="1"/>
  <c r="F1511" i="1"/>
  <c r="G1511" i="1"/>
  <c r="A1511" i="1"/>
  <c r="B1511" i="1"/>
  <c r="H1511" i="1"/>
  <c r="I1511" i="1"/>
  <c r="D2913" i="1"/>
  <c r="E2913" i="1"/>
  <c r="F2913" i="1"/>
  <c r="G2913" i="1"/>
  <c r="A2913" i="1"/>
  <c r="B2913" i="1"/>
  <c r="H2913" i="1"/>
  <c r="I2913" i="1"/>
  <c r="D2897" i="1"/>
  <c r="E2897" i="1"/>
  <c r="F2897" i="1"/>
  <c r="G2897" i="1"/>
  <c r="A2897" i="1"/>
  <c r="B2897" i="1"/>
  <c r="H2897" i="1"/>
  <c r="I2897" i="1"/>
  <c r="D2770" i="1"/>
  <c r="E2770" i="1"/>
  <c r="F2770" i="1"/>
  <c r="G2770" i="1"/>
  <c r="A2770" i="1"/>
  <c r="B2770" i="1"/>
  <c r="H2770" i="1"/>
  <c r="I2770" i="1"/>
  <c r="D1510" i="1"/>
  <c r="E1510" i="1"/>
  <c r="F1510" i="1"/>
  <c r="G1510" i="1"/>
  <c r="A1510" i="1"/>
  <c r="B1510" i="1"/>
  <c r="H1510" i="1"/>
  <c r="I1510" i="1"/>
  <c r="D2589" i="1"/>
  <c r="E2589" i="1"/>
  <c r="F2589" i="1"/>
  <c r="G2589" i="1"/>
  <c r="A2589" i="1"/>
  <c r="B2589" i="1"/>
  <c r="H2589" i="1"/>
  <c r="I2589" i="1"/>
  <c r="D2896" i="1"/>
  <c r="E2896" i="1"/>
  <c r="F2896" i="1"/>
  <c r="G2896" i="1"/>
  <c r="A2896" i="1"/>
  <c r="B2896" i="1"/>
  <c r="H2896" i="1"/>
  <c r="I2896" i="1"/>
  <c r="D1076" i="1"/>
  <c r="E1076" i="1"/>
  <c r="F1076" i="1"/>
  <c r="G1076" i="1"/>
  <c r="A1076" i="1"/>
  <c r="B1076" i="1"/>
  <c r="H1076" i="1"/>
  <c r="I1076" i="1"/>
  <c r="D2766" i="1"/>
  <c r="E2766" i="1"/>
  <c r="F2766" i="1"/>
  <c r="G2766" i="1"/>
  <c r="A2766" i="1"/>
  <c r="B2766" i="1"/>
  <c r="H2766" i="1"/>
  <c r="I2766" i="1"/>
  <c r="D2547" i="1"/>
  <c r="E2547" i="1"/>
  <c r="F2547" i="1"/>
  <c r="G2547" i="1"/>
  <c r="A2547" i="1"/>
  <c r="B2547" i="1"/>
  <c r="H2547" i="1"/>
  <c r="I2547" i="1"/>
  <c r="D1524" i="1"/>
  <c r="E1524" i="1"/>
  <c r="F1524" i="1"/>
  <c r="G1524" i="1"/>
  <c r="A1524" i="1"/>
  <c r="B1524" i="1"/>
  <c r="H1524" i="1"/>
  <c r="I1524" i="1"/>
  <c r="D2760" i="1"/>
  <c r="E2760" i="1"/>
  <c r="F2760" i="1"/>
  <c r="G2760" i="1"/>
  <c r="A2760" i="1"/>
  <c r="B2760" i="1"/>
  <c r="H2760" i="1"/>
  <c r="I2760" i="1"/>
  <c r="D617" i="1"/>
  <c r="E617" i="1"/>
  <c r="F617" i="1"/>
  <c r="G617" i="1"/>
  <c r="A617" i="1"/>
  <c r="B617" i="1"/>
  <c r="H617" i="1"/>
  <c r="I617" i="1"/>
  <c r="D3122" i="1"/>
  <c r="E3122" i="1"/>
  <c r="F3122" i="1"/>
  <c r="G3122" i="1"/>
  <c r="A3122" i="1"/>
  <c r="B3122" i="1"/>
  <c r="H3122" i="1"/>
  <c r="I3122" i="1"/>
  <c r="D2912" i="1"/>
  <c r="E2912" i="1"/>
  <c r="F2912" i="1"/>
  <c r="G2912" i="1"/>
  <c r="A2912" i="1"/>
  <c r="B2912" i="1"/>
  <c r="H2912" i="1"/>
  <c r="I2912" i="1"/>
  <c r="D1509" i="1"/>
  <c r="E1509" i="1"/>
  <c r="F1509" i="1"/>
  <c r="G1509" i="1"/>
  <c r="A1509" i="1"/>
  <c r="B1509" i="1"/>
  <c r="H1509" i="1"/>
  <c r="I1509" i="1"/>
  <c r="D2816" i="1"/>
  <c r="E2816" i="1"/>
  <c r="F2816" i="1"/>
  <c r="G2816" i="1"/>
  <c r="A2816" i="1"/>
  <c r="B2816" i="1"/>
  <c r="H2816" i="1"/>
  <c r="I2816" i="1"/>
  <c r="D1521" i="1"/>
  <c r="E1521" i="1"/>
  <c r="F1521" i="1"/>
  <c r="G1521" i="1"/>
  <c r="A1521" i="1"/>
  <c r="B1521" i="1"/>
  <c r="H1521" i="1"/>
  <c r="I1521" i="1"/>
  <c r="D1523" i="1"/>
  <c r="E1523" i="1"/>
  <c r="F1523" i="1"/>
  <c r="G1523" i="1"/>
  <c r="A1523" i="1"/>
  <c r="B1523" i="1"/>
  <c r="H1523" i="1"/>
  <c r="I1523" i="1"/>
  <c r="D1526" i="1"/>
  <c r="E1526" i="1"/>
  <c r="F1526" i="1"/>
  <c r="G1526" i="1"/>
  <c r="A1526" i="1"/>
  <c r="B1526" i="1"/>
  <c r="H1526" i="1"/>
  <c r="I1526" i="1"/>
  <c r="D2546" i="1"/>
  <c r="E2546" i="1"/>
  <c r="F2546" i="1"/>
  <c r="G2546" i="1"/>
  <c r="A2546" i="1"/>
  <c r="B2546" i="1"/>
  <c r="H2546" i="1"/>
  <c r="I2546" i="1"/>
  <c r="D2754" i="1"/>
  <c r="E2754" i="1"/>
  <c r="F2754" i="1"/>
  <c r="G2754" i="1"/>
  <c r="A2754" i="1"/>
  <c r="B2754" i="1"/>
  <c r="H2754" i="1"/>
  <c r="I2754" i="1"/>
  <c r="D2755" i="1"/>
  <c r="E2755" i="1"/>
  <c r="F2755" i="1"/>
  <c r="G2755" i="1"/>
  <c r="A2755" i="1"/>
  <c r="B2755" i="1"/>
  <c r="H2755" i="1"/>
  <c r="I2755" i="1"/>
  <c r="D1126" i="1"/>
  <c r="E1126" i="1"/>
  <c r="F1126" i="1"/>
  <c r="G1126" i="1"/>
  <c r="A1126" i="1"/>
  <c r="B1126" i="1"/>
  <c r="H1126" i="1"/>
  <c r="I1126" i="1"/>
  <c r="D2910" i="1"/>
  <c r="E2910" i="1"/>
  <c r="F2910" i="1"/>
  <c r="G2910" i="1"/>
  <c r="A2910" i="1"/>
  <c r="B2910" i="1"/>
  <c r="H2910" i="1"/>
  <c r="I2910" i="1"/>
  <c r="D2758" i="1"/>
  <c r="E2758" i="1"/>
  <c r="F2758" i="1"/>
  <c r="G2758" i="1"/>
  <c r="A2758" i="1"/>
  <c r="B2758" i="1"/>
  <c r="H2758" i="1"/>
  <c r="I2758" i="1"/>
  <c r="D1127" i="1"/>
  <c r="E1127" i="1"/>
  <c r="F1127" i="1"/>
  <c r="G1127" i="1"/>
  <c r="A1127" i="1"/>
  <c r="B1127" i="1"/>
  <c r="H1127" i="1"/>
  <c r="I1127" i="1"/>
  <c r="D3123" i="1"/>
  <c r="E3123" i="1"/>
  <c r="F3123" i="1"/>
  <c r="G3123" i="1"/>
  <c r="A3123" i="1"/>
  <c r="B3123" i="1"/>
  <c r="H3123" i="1"/>
  <c r="I3123" i="1"/>
  <c r="D2802" i="1"/>
  <c r="E2802" i="1"/>
  <c r="F2802" i="1"/>
  <c r="G2802" i="1"/>
  <c r="A2802" i="1"/>
  <c r="B2802" i="1"/>
  <c r="H2802" i="1"/>
  <c r="I2802" i="1"/>
  <c r="D2860" i="1"/>
  <c r="E2860" i="1"/>
  <c r="F2860" i="1"/>
  <c r="G2860" i="1"/>
  <c r="A2860" i="1"/>
  <c r="B2860" i="1"/>
  <c r="H2860" i="1"/>
  <c r="I2860" i="1"/>
  <c r="D1517" i="1"/>
  <c r="E1517" i="1"/>
  <c r="F1517" i="1"/>
  <c r="G1517" i="1"/>
  <c r="A1517" i="1"/>
  <c r="B1517" i="1"/>
  <c r="H1517" i="1"/>
  <c r="I1517" i="1"/>
  <c r="D2878" i="1"/>
  <c r="E2878" i="1"/>
  <c r="F2878" i="1"/>
  <c r="G2878" i="1"/>
  <c r="A2878" i="1"/>
  <c r="B2878" i="1"/>
  <c r="H2878" i="1"/>
  <c r="I2878" i="1"/>
  <c r="D1515" i="1"/>
  <c r="E1515" i="1"/>
  <c r="F1515" i="1"/>
  <c r="G1515" i="1"/>
  <c r="A1515" i="1"/>
  <c r="B1515" i="1"/>
  <c r="H1515" i="1"/>
  <c r="I1515" i="1"/>
  <c r="D1525" i="1"/>
  <c r="E1525" i="1"/>
  <c r="F1525" i="1"/>
  <c r="G1525" i="1"/>
  <c r="A1525" i="1"/>
  <c r="B1525" i="1"/>
  <c r="H1525" i="1"/>
  <c r="I1525" i="1"/>
  <c r="D1518" i="1"/>
  <c r="E1518" i="1"/>
  <c r="F1518" i="1"/>
  <c r="G1518" i="1"/>
  <c r="A1518" i="1"/>
  <c r="B1518" i="1"/>
  <c r="H1518" i="1"/>
  <c r="I1518" i="1"/>
  <c r="D2879" i="1"/>
  <c r="E2879" i="1"/>
  <c r="F2879" i="1"/>
  <c r="G2879" i="1"/>
  <c r="A2879" i="1"/>
  <c r="B2879" i="1"/>
  <c r="H2879" i="1"/>
  <c r="I2879" i="1"/>
  <c r="D1516" i="1"/>
  <c r="E1516" i="1"/>
  <c r="F1516" i="1"/>
  <c r="G1516" i="1"/>
  <c r="A1516" i="1"/>
  <c r="B1516" i="1"/>
  <c r="H1516" i="1"/>
  <c r="I1516" i="1"/>
  <c r="D2759" i="1"/>
  <c r="E2759" i="1"/>
  <c r="F2759" i="1"/>
  <c r="G2759" i="1"/>
  <c r="A2759" i="1"/>
  <c r="B2759" i="1"/>
  <c r="H2759" i="1"/>
  <c r="I2759" i="1"/>
  <c r="D1520" i="1"/>
  <c r="E1520" i="1"/>
  <c r="F1520" i="1"/>
  <c r="G1520" i="1"/>
  <c r="A1520" i="1"/>
  <c r="B1520" i="1"/>
  <c r="H1520" i="1"/>
  <c r="I1520" i="1"/>
  <c r="D1512" i="1"/>
  <c r="E1512" i="1"/>
  <c r="F1512" i="1"/>
  <c r="G1512" i="1"/>
  <c r="A1512" i="1"/>
  <c r="B1512" i="1"/>
  <c r="H1512" i="1"/>
  <c r="I1512" i="1"/>
  <c r="D2548" i="1"/>
  <c r="E2548" i="1"/>
  <c r="F2548" i="1"/>
  <c r="G2548" i="1"/>
  <c r="A2548" i="1"/>
  <c r="B2548" i="1"/>
  <c r="H2548" i="1"/>
  <c r="I2548" i="1"/>
  <c r="D1522" i="1"/>
  <c r="E1522" i="1"/>
  <c r="F1522" i="1"/>
  <c r="G1522" i="1"/>
  <c r="A1522" i="1"/>
  <c r="B1522" i="1"/>
  <c r="H1522" i="1"/>
  <c r="I1522" i="1"/>
  <c r="D2861" i="1"/>
  <c r="E2861" i="1"/>
  <c r="F2861" i="1"/>
  <c r="G2861" i="1"/>
  <c r="A2861" i="1"/>
  <c r="B2861" i="1"/>
  <c r="H2861" i="1"/>
  <c r="I2861" i="1"/>
  <c r="D466" i="1"/>
  <c r="E466" i="1"/>
  <c r="F466" i="1"/>
  <c r="G466" i="1"/>
  <c r="A466" i="1"/>
  <c r="B466" i="1"/>
  <c r="H466" i="1"/>
  <c r="I466" i="1"/>
  <c r="D2757" i="1"/>
  <c r="E2757" i="1"/>
  <c r="F2757" i="1"/>
  <c r="G2757" i="1"/>
  <c r="A2757" i="1"/>
  <c r="B2757" i="1"/>
  <c r="H2757" i="1"/>
  <c r="I2757" i="1"/>
  <c r="D2549" i="1"/>
  <c r="E2549" i="1"/>
  <c r="F2549" i="1"/>
  <c r="G2549" i="1"/>
  <c r="A2549" i="1"/>
  <c r="B2549" i="1"/>
  <c r="H2549" i="1"/>
  <c r="I2549" i="1"/>
  <c r="D2863" i="1"/>
  <c r="E2863" i="1"/>
  <c r="F2863" i="1"/>
  <c r="G2863" i="1"/>
  <c r="A2863" i="1"/>
  <c r="B2863" i="1"/>
  <c r="H2863" i="1"/>
  <c r="I2863" i="1"/>
  <c r="D1513" i="1"/>
  <c r="E1513" i="1"/>
  <c r="F1513" i="1"/>
  <c r="G1513" i="1"/>
  <c r="A1513" i="1"/>
  <c r="B1513" i="1"/>
  <c r="H1513" i="1"/>
  <c r="I1513" i="1"/>
  <c r="D1514" i="1"/>
  <c r="E1514" i="1"/>
  <c r="F1514" i="1"/>
  <c r="G1514" i="1"/>
  <c r="A1514" i="1"/>
  <c r="B1514" i="1"/>
  <c r="H1514" i="1"/>
  <c r="I1514" i="1"/>
  <c r="D2771" i="1"/>
  <c r="E2771" i="1"/>
  <c r="F2771" i="1"/>
  <c r="G2771" i="1"/>
  <c r="A2771" i="1"/>
  <c r="B2771" i="1"/>
  <c r="H2771" i="1"/>
  <c r="I2771" i="1"/>
  <c r="D2911" i="1"/>
  <c r="E2911" i="1"/>
  <c r="F2911" i="1"/>
  <c r="G2911" i="1"/>
  <c r="A2911" i="1"/>
  <c r="B2911" i="1"/>
  <c r="H2911" i="1"/>
  <c r="I2911" i="1"/>
  <c r="D2862" i="1"/>
  <c r="E2862" i="1"/>
  <c r="F2862" i="1"/>
  <c r="G2862" i="1"/>
  <c r="A2862" i="1"/>
  <c r="B2862" i="1"/>
  <c r="H2862" i="1"/>
  <c r="I2862" i="1"/>
  <c r="D1519" i="1"/>
  <c r="E1519" i="1"/>
  <c r="F1519" i="1"/>
  <c r="G1519" i="1"/>
  <c r="A1519" i="1"/>
  <c r="B1519" i="1"/>
  <c r="H1519" i="1"/>
  <c r="I1519" i="1"/>
  <c r="D2877" i="1"/>
  <c r="E2877" i="1"/>
  <c r="F2877" i="1"/>
  <c r="G2877" i="1"/>
  <c r="A2877" i="1"/>
  <c r="B2877" i="1"/>
  <c r="H2877" i="1"/>
  <c r="I2877" i="1"/>
  <c r="D2951" i="1"/>
  <c r="E2951" i="1"/>
  <c r="F2951" i="1"/>
  <c r="G2951" i="1"/>
  <c r="A2951" i="1"/>
  <c r="B2951" i="1"/>
  <c r="H2951" i="1"/>
  <c r="I2951" i="1"/>
  <c r="D1661" i="1"/>
  <c r="E1661" i="1"/>
  <c r="F1661" i="1"/>
  <c r="G1661" i="1"/>
  <c r="A1661" i="1"/>
  <c r="B1661" i="1"/>
  <c r="H1661" i="1"/>
  <c r="I1661" i="1"/>
  <c r="D1325" i="1"/>
  <c r="E1325" i="1"/>
  <c r="F1325" i="1"/>
  <c r="G1325" i="1"/>
  <c r="A1325" i="1"/>
  <c r="B1325" i="1"/>
  <c r="H1325" i="1"/>
  <c r="I1325" i="1"/>
  <c r="D2974" i="1"/>
  <c r="E2974" i="1"/>
  <c r="F2974" i="1"/>
  <c r="G2974" i="1"/>
  <c r="A2974" i="1"/>
  <c r="B2974" i="1"/>
  <c r="H2974" i="1"/>
  <c r="I2974" i="1"/>
  <c r="D1326" i="1"/>
  <c r="E1326" i="1"/>
  <c r="F1326" i="1"/>
  <c r="G1326" i="1"/>
  <c r="A1326" i="1"/>
  <c r="B1326" i="1"/>
  <c r="H1326" i="1"/>
  <c r="I1326" i="1"/>
  <c r="D98" i="1"/>
  <c r="E98" i="1"/>
  <c r="F98" i="1"/>
  <c r="G98" i="1"/>
  <c r="A98" i="1"/>
  <c r="B98" i="1"/>
  <c r="H98" i="1"/>
  <c r="I98" i="1"/>
  <c r="D1322" i="1"/>
  <c r="E1322" i="1"/>
  <c r="F1322" i="1"/>
  <c r="G1322" i="1"/>
  <c r="A1322" i="1"/>
  <c r="B1322" i="1"/>
  <c r="H1322" i="1"/>
  <c r="I1322" i="1"/>
  <c r="D2643" i="1"/>
  <c r="E2643" i="1"/>
  <c r="F2643" i="1"/>
  <c r="G2643" i="1"/>
  <c r="A2643" i="1"/>
  <c r="B2643" i="1"/>
  <c r="H2643" i="1"/>
  <c r="I2643" i="1"/>
  <c r="D2876" i="1"/>
  <c r="E2876" i="1"/>
  <c r="F2876" i="1"/>
  <c r="G2876" i="1"/>
  <c r="A2876" i="1"/>
  <c r="B2876" i="1"/>
  <c r="H2876" i="1"/>
  <c r="I2876" i="1"/>
  <c r="D100" i="1"/>
  <c r="E100" i="1"/>
  <c r="F100" i="1"/>
  <c r="G100" i="1"/>
  <c r="A100" i="1"/>
  <c r="B100" i="1"/>
  <c r="H100" i="1"/>
  <c r="I100" i="1"/>
  <c r="D101" i="1"/>
  <c r="E101" i="1"/>
  <c r="F101" i="1"/>
  <c r="G101" i="1"/>
  <c r="A101" i="1"/>
  <c r="B101" i="1"/>
  <c r="H101" i="1"/>
  <c r="I101" i="1"/>
  <c r="D2849" i="1"/>
  <c r="E2849" i="1"/>
  <c r="F2849" i="1"/>
  <c r="G2849" i="1"/>
  <c r="A2849" i="1"/>
  <c r="B2849" i="1"/>
  <c r="H2849" i="1"/>
  <c r="I2849" i="1"/>
  <c r="D1666" i="1"/>
  <c r="E1666" i="1"/>
  <c r="F1666" i="1"/>
  <c r="G1666" i="1"/>
  <c r="A1666" i="1"/>
  <c r="B1666" i="1"/>
  <c r="H1666" i="1"/>
  <c r="I1666" i="1"/>
  <c r="D2488" i="1"/>
  <c r="E2488" i="1"/>
  <c r="F2488" i="1"/>
  <c r="G2488" i="1"/>
  <c r="A2488" i="1"/>
  <c r="B2488" i="1"/>
  <c r="H2488" i="1"/>
  <c r="I2488" i="1"/>
  <c r="D2875" i="1"/>
  <c r="E2875" i="1"/>
  <c r="F2875" i="1"/>
  <c r="G2875" i="1"/>
  <c r="A2875" i="1"/>
  <c r="B2875" i="1"/>
  <c r="H2875" i="1"/>
  <c r="I2875" i="1"/>
  <c r="D1320" i="1"/>
  <c r="E1320" i="1"/>
  <c r="F1320" i="1"/>
  <c r="G1320" i="1"/>
  <c r="A1320" i="1"/>
  <c r="B1320" i="1"/>
  <c r="H1320" i="1"/>
  <c r="I1320" i="1"/>
  <c r="D1321" i="1"/>
  <c r="E1321" i="1"/>
  <c r="F1321" i="1"/>
  <c r="G1321" i="1"/>
  <c r="A1321" i="1"/>
  <c r="B1321" i="1"/>
  <c r="H1321" i="1"/>
  <c r="I1321" i="1"/>
  <c r="D2948" i="1"/>
  <c r="E2948" i="1"/>
  <c r="F2948" i="1"/>
  <c r="G2948" i="1"/>
  <c r="A2948" i="1"/>
  <c r="B2948" i="1"/>
  <c r="H2948" i="1"/>
  <c r="I2948" i="1"/>
  <c r="D2645" i="1"/>
  <c r="E2645" i="1"/>
  <c r="F2645" i="1"/>
  <c r="G2645" i="1"/>
  <c r="A2645" i="1"/>
  <c r="B2645" i="1"/>
  <c r="H2645" i="1"/>
  <c r="I2645" i="1"/>
  <c r="D2487" i="1"/>
  <c r="E2487" i="1"/>
  <c r="F2487" i="1"/>
  <c r="G2487" i="1"/>
  <c r="A2487" i="1"/>
  <c r="B2487" i="1"/>
  <c r="H2487" i="1"/>
  <c r="I2487" i="1"/>
  <c r="D2953" i="1"/>
  <c r="E2953" i="1"/>
  <c r="F2953" i="1"/>
  <c r="G2953" i="1"/>
  <c r="A2953" i="1"/>
  <c r="B2953" i="1"/>
  <c r="H2953" i="1"/>
  <c r="I2953" i="1"/>
  <c r="D127" i="1"/>
  <c r="E127" i="1"/>
  <c r="F127" i="1"/>
  <c r="G127" i="1"/>
  <c r="A127" i="1"/>
  <c r="B127" i="1"/>
  <c r="H127" i="1"/>
  <c r="I127" i="1"/>
  <c r="D123" i="1"/>
  <c r="E123" i="1"/>
  <c r="F123" i="1"/>
  <c r="G123" i="1"/>
  <c r="A123" i="1"/>
  <c r="B123" i="1"/>
  <c r="H123" i="1"/>
  <c r="I123" i="1"/>
  <c r="D124" i="1"/>
  <c r="E124" i="1"/>
  <c r="F124" i="1"/>
  <c r="G124" i="1"/>
  <c r="A124" i="1"/>
  <c r="B124" i="1"/>
  <c r="H124" i="1"/>
  <c r="I124" i="1"/>
  <c r="D125" i="1"/>
  <c r="E125" i="1"/>
  <c r="F125" i="1"/>
  <c r="G125" i="1"/>
  <c r="A125" i="1"/>
  <c r="B125" i="1"/>
  <c r="H125" i="1"/>
  <c r="I125" i="1"/>
  <c r="D88" i="1"/>
  <c r="E88" i="1"/>
  <c r="F88" i="1"/>
  <c r="G88" i="1"/>
  <c r="A88" i="1"/>
  <c r="B88" i="1"/>
  <c r="H88" i="1"/>
  <c r="I88" i="1"/>
  <c r="D126" i="1"/>
  <c r="E126" i="1"/>
  <c r="F126" i="1"/>
  <c r="G126" i="1"/>
  <c r="A126" i="1"/>
  <c r="B126" i="1"/>
  <c r="H126" i="1"/>
  <c r="I126" i="1"/>
  <c r="D2476" i="1"/>
  <c r="E2476" i="1"/>
  <c r="F2476" i="1"/>
  <c r="G2476" i="1"/>
  <c r="A2476" i="1"/>
  <c r="B2476" i="1"/>
  <c r="H2476" i="1"/>
  <c r="I2476" i="1"/>
  <c r="D2565" i="1"/>
  <c r="E2565" i="1"/>
  <c r="F2565" i="1"/>
  <c r="G2565" i="1"/>
  <c r="A2565" i="1"/>
  <c r="B2565" i="1"/>
  <c r="H2565" i="1"/>
  <c r="I2565" i="1"/>
  <c r="D1328" i="1"/>
  <c r="E1328" i="1"/>
  <c r="F1328" i="1"/>
  <c r="G1328" i="1"/>
  <c r="A1328" i="1"/>
  <c r="B1328" i="1"/>
  <c r="H1328" i="1"/>
  <c r="I1328" i="1"/>
  <c r="D1667" i="1"/>
  <c r="E1667" i="1"/>
  <c r="F1667" i="1"/>
  <c r="G1667" i="1"/>
  <c r="A1667" i="1"/>
  <c r="B1667" i="1"/>
  <c r="H1667" i="1"/>
  <c r="I1667" i="1"/>
  <c r="D1323" i="1"/>
  <c r="E1323" i="1"/>
  <c r="F1323" i="1"/>
  <c r="G1323" i="1"/>
  <c r="A1323" i="1"/>
  <c r="B1323" i="1"/>
  <c r="H1323" i="1"/>
  <c r="I1323" i="1"/>
  <c r="D1327" i="1"/>
  <c r="E1327" i="1"/>
  <c r="F1327" i="1"/>
  <c r="G1327" i="1"/>
  <c r="A1327" i="1"/>
  <c r="B1327" i="1"/>
  <c r="H1327" i="1"/>
  <c r="I1327" i="1"/>
  <c r="D1659" i="1"/>
  <c r="E1659" i="1"/>
  <c r="F1659" i="1"/>
  <c r="G1659" i="1"/>
  <c r="A1659" i="1"/>
  <c r="B1659" i="1"/>
  <c r="H1659" i="1"/>
  <c r="I1659" i="1"/>
  <c r="D1657" i="1"/>
  <c r="E1657" i="1"/>
  <c r="F1657" i="1"/>
  <c r="G1657" i="1"/>
  <c r="A1657" i="1"/>
  <c r="B1657" i="1"/>
  <c r="H1657" i="1"/>
  <c r="I1657" i="1"/>
  <c r="D1658" i="1"/>
  <c r="E1658" i="1"/>
  <c r="F1658" i="1"/>
  <c r="G1658" i="1"/>
  <c r="A1658" i="1"/>
  <c r="B1658" i="1"/>
  <c r="H1658" i="1"/>
  <c r="I1658" i="1"/>
  <c r="D1662" i="1"/>
  <c r="E1662" i="1"/>
  <c r="F1662" i="1"/>
  <c r="G1662" i="1"/>
  <c r="A1662" i="1"/>
  <c r="B1662" i="1"/>
  <c r="H1662" i="1"/>
  <c r="I1662" i="1"/>
  <c r="D1663" i="1"/>
  <c r="E1663" i="1"/>
  <c r="F1663" i="1"/>
  <c r="G1663" i="1"/>
  <c r="A1663" i="1"/>
  <c r="B1663" i="1"/>
  <c r="H1663" i="1"/>
  <c r="I1663" i="1"/>
  <c r="D2490" i="1"/>
  <c r="E2490" i="1"/>
  <c r="F2490" i="1"/>
  <c r="G2490" i="1"/>
  <c r="A2490" i="1"/>
  <c r="B2490" i="1"/>
  <c r="H2490" i="1"/>
  <c r="I2490" i="1"/>
  <c r="D2644" i="1"/>
  <c r="E2644" i="1"/>
  <c r="F2644" i="1"/>
  <c r="G2644" i="1"/>
  <c r="A2644" i="1"/>
  <c r="B2644" i="1"/>
  <c r="H2644" i="1"/>
  <c r="I2644" i="1"/>
  <c r="D2848" i="1"/>
  <c r="E2848" i="1"/>
  <c r="F2848" i="1"/>
  <c r="G2848" i="1"/>
  <c r="A2848" i="1"/>
  <c r="B2848" i="1"/>
  <c r="H2848" i="1"/>
  <c r="I2848" i="1"/>
  <c r="D1319" i="1"/>
  <c r="E1319" i="1"/>
  <c r="F1319" i="1"/>
  <c r="G1319" i="1"/>
  <c r="A1319" i="1"/>
  <c r="B1319" i="1"/>
  <c r="H1319" i="1"/>
  <c r="I1319" i="1"/>
  <c r="D1665" i="1"/>
  <c r="E1665" i="1"/>
  <c r="F1665" i="1"/>
  <c r="G1665" i="1"/>
  <c r="A1665" i="1"/>
  <c r="B1665" i="1"/>
  <c r="H1665" i="1"/>
  <c r="I1665" i="1"/>
  <c r="D99" i="1"/>
  <c r="E99" i="1"/>
  <c r="F99" i="1"/>
  <c r="G99" i="1"/>
  <c r="A99" i="1"/>
  <c r="B99" i="1"/>
  <c r="H99" i="1"/>
  <c r="I99" i="1"/>
  <c r="D2952" i="1"/>
  <c r="E2952" i="1"/>
  <c r="F2952" i="1"/>
  <c r="G2952" i="1"/>
  <c r="A2952" i="1"/>
  <c r="B2952" i="1"/>
  <c r="H2952" i="1"/>
  <c r="I2952" i="1"/>
  <c r="D89" i="1"/>
  <c r="E89" i="1"/>
  <c r="F89" i="1"/>
  <c r="G89" i="1"/>
  <c r="A89" i="1"/>
  <c r="B89" i="1"/>
  <c r="H89" i="1"/>
  <c r="I89" i="1"/>
  <c r="D1660" i="1"/>
  <c r="E1660" i="1"/>
  <c r="F1660" i="1"/>
  <c r="G1660" i="1"/>
  <c r="A1660" i="1"/>
  <c r="B1660" i="1"/>
  <c r="H1660" i="1"/>
  <c r="I1660" i="1"/>
  <c r="D2642" i="1"/>
  <c r="E2642" i="1"/>
  <c r="F2642" i="1"/>
  <c r="G2642" i="1"/>
  <c r="A2642" i="1"/>
  <c r="B2642" i="1"/>
  <c r="H2642" i="1"/>
  <c r="I2642" i="1"/>
  <c r="D2566" i="1"/>
  <c r="E2566" i="1"/>
  <c r="F2566" i="1"/>
  <c r="G2566" i="1"/>
  <c r="A2566" i="1"/>
  <c r="B2566" i="1"/>
  <c r="H2566" i="1"/>
  <c r="I2566" i="1"/>
  <c r="D2477" i="1"/>
  <c r="E2477" i="1"/>
  <c r="F2477" i="1"/>
  <c r="G2477" i="1"/>
  <c r="A2477" i="1"/>
  <c r="B2477" i="1"/>
  <c r="H2477" i="1"/>
  <c r="I2477" i="1"/>
  <c r="D1324" i="1"/>
  <c r="E1324" i="1"/>
  <c r="F1324" i="1"/>
  <c r="G1324" i="1"/>
  <c r="A1324" i="1"/>
  <c r="B1324" i="1"/>
  <c r="H1324" i="1"/>
  <c r="I1324" i="1"/>
  <c r="D1318" i="1"/>
  <c r="E1318" i="1"/>
  <c r="F1318" i="1"/>
  <c r="G1318" i="1"/>
  <c r="A1318" i="1"/>
  <c r="B1318" i="1"/>
  <c r="H1318" i="1"/>
  <c r="I1318" i="1"/>
  <c r="D2530" i="1"/>
  <c r="E2530" i="1"/>
  <c r="F2530" i="1"/>
  <c r="G2530" i="1"/>
  <c r="A2530" i="1"/>
  <c r="B2530" i="1"/>
  <c r="H2530" i="1"/>
  <c r="I2530" i="1"/>
  <c r="D1664" i="1"/>
  <c r="E1664" i="1"/>
  <c r="F1664" i="1"/>
  <c r="G1664" i="1"/>
  <c r="A1664" i="1"/>
  <c r="B1664" i="1"/>
  <c r="H1664" i="1"/>
  <c r="I1664" i="1"/>
  <c r="D2529" i="1"/>
  <c r="E2529" i="1"/>
  <c r="F2529" i="1"/>
  <c r="G2529" i="1"/>
  <c r="A2529" i="1"/>
  <c r="B2529" i="1"/>
  <c r="H2529" i="1"/>
  <c r="I2529" i="1"/>
  <c r="D1671" i="1"/>
  <c r="E1671" i="1"/>
  <c r="F1671" i="1"/>
  <c r="G1671" i="1"/>
  <c r="A1671" i="1"/>
  <c r="B1671" i="1"/>
  <c r="H1671" i="1"/>
  <c r="I1671" i="1"/>
  <c r="D1679" i="1"/>
  <c r="E1679" i="1"/>
  <c r="F1679" i="1"/>
  <c r="G1679" i="1"/>
  <c r="A1679" i="1"/>
  <c r="B1679" i="1"/>
  <c r="H1679" i="1"/>
  <c r="I1679" i="1"/>
  <c r="D1677" i="1"/>
  <c r="E1677" i="1"/>
  <c r="F1677" i="1"/>
  <c r="G1677" i="1"/>
  <c r="A1677" i="1"/>
  <c r="B1677" i="1"/>
  <c r="H1677" i="1"/>
  <c r="I1677" i="1"/>
  <c r="D1674" i="1"/>
  <c r="E1674" i="1"/>
  <c r="F1674" i="1"/>
  <c r="G1674" i="1"/>
  <c r="A1674" i="1"/>
  <c r="B1674" i="1"/>
  <c r="H1674" i="1"/>
  <c r="I1674" i="1"/>
  <c r="D749" i="1"/>
  <c r="E749" i="1"/>
  <c r="F749" i="1"/>
  <c r="G749" i="1"/>
  <c r="A749" i="1"/>
  <c r="B749" i="1"/>
  <c r="H749" i="1"/>
  <c r="I749" i="1"/>
  <c r="D743" i="1"/>
  <c r="E743" i="1"/>
  <c r="F743" i="1"/>
  <c r="G743" i="1"/>
  <c r="A743" i="1"/>
  <c r="B743" i="1"/>
  <c r="H743" i="1"/>
  <c r="I743" i="1"/>
  <c r="D745" i="1"/>
  <c r="E745" i="1"/>
  <c r="F745" i="1"/>
  <c r="G745" i="1"/>
  <c r="A745" i="1"/>
  <c r="B745" i="1"/>
  <c r="H745" i="1"/>
  <c r="I745" i="1"/>
  <c r="D746" i="1"/>
  <c r="E746" i="1"/>
  <c r="F746" i="1"/>
  <c r="G746" i="1"/>
  <c r="A746" i="1"/>
  <c r="B746" i="1"/>
  <c r="H746" i="1"/>
  <c r="I746" i="1"/>
  <c r="D1675" i="1"/>
  <c r="E1675" i="1"/>
  <c r="F1675" i="1"/>
  <c r="G1675" i="1"/>
  <c r="A1675" i="1"/>
  <c r="B1675" i="1"/>
  <c r="H1675" i="1"/>
  <c r="I1675" i="1"/>
  <c r="D1668" i="1"/>
  <c r="E1668" i="1"/>
  <c r="F1668" i="1"/>
  <c r="G1668" i="1"/>
  <c r="A1668" i="1"/>
  <c r="B1668" i="1"/>
  <c r="H1668" i="1"/>
  <c r="I1668" i="1"/>
  <c r="D1673" i="1"/>
  <c r="E1673" i="1"/>
  <c r="F1673" i="1"/>
  <c r="G1673" i="1"/>
  <c r="A1673" i="1"/>
  <c r="B1673" i="1"/>
  <c r="H1673" i="1"/>
  <c r="I1673" i="1"/>
  <c r="D1700" i="1"/>
  <c r="E1700" i="1"/>
  <c r="F1700" i="1"/>
  <c r="G1700" i="1"/>
  <c r="A1700" i="1"/>
  <c r="B1700" i="1"/>
  <c r="H1700" i="1"/>
  <c r="I1700" i="1"/>
  <c r="D750" i="1"/>
  <c r="E750" i="1"/>
  <c r="F750" i="1"/>
  <c r="G750" i="1"/>
  <c r="A750" i="1"/>
  <c r="B750" i="1"/>
  <c r="H750" i="1"/>
  <c r="I750" i="1"/>
  <c r="D1696" i="1"/>
  <c r="E1696" i="1"/>
  <c r="F1696" i="1"/>
  <c r="G1696" i="1"/>
  <c r="A1696" i="1"/>
  <c r="B1696" i="1"/>
  <c r="H1696" i="1"/>
  <c r="I1696" i="1"/>
  <c r="D1678" i="1"/>
  <c r="E1678" i="1"/>
  <c r="F1678" i="1"/>
  <c r="G1678" i="1"/>
  <c r="A1678" i="1"/>
  <c r="B1678" i="1"/>
  <c r="H1678" i="1"/>
  <c r="I1678" i="1"/>
  <c r="D1699" i="1"/>
  <c r="E1699" i="1"/>
  <c r="F1699" i="1"/>
  <c r="G1699" i="1"/>
  <c r="A1699" i="1"/>
  <c r="B1699" i="1"/>
  <c r="H1699" i="1"/>
  <c r="I1699" i="1"/>
  <c r="D748" i="1"/>
  <c r="E748" i="1"/>
  <c r="F748" i="1"/>
  <c r="G748" i="1"/>
  <c r="A748" i="1"/>
  <c r="B748" i="1"/>
  <c r="H748" i="1"/>
  <c r="I748" i="1"/>
  <c r="D1685" i="1"/>
  <c r="E1685" i="1"/>
  <c r="F1685" i="1"/>
  <c r="G1685" i="1"/>
  <c r="A1685" i="1"/>
  <c r="B1685" i="1"/>
  <c r="H1685" i="1"/>
  <c r="I1685" i="1"/>
  <c r="D1681" i="1"/>
  <c r="E1681" i="1"/>
  <c r="F1681" i="1"/>
  <c r="G1681" i="1"/>
  <c r="A1681" i="1"/>
  <c r="B1681" i="1"/>
  <c r="H1681" i="1"/>
  <c r="I1681" i="1"/>
  <c r="D1694" i="1"/>
  <c r="E1694" i="1"/>
  <c r="F1694" i="1"/>
  <c r="G1694" i="1"/>
  <c r="A1694" i="1"/>
  <c r="B1694" i="1"/>
  <c r="H1694" i="1"/>
  <c r="I1694" i="1"/>
  <c r="D1687" i="1"/>
  <c r="E1687" i="1"/>
  <c r="F1687" i="1"/>
  <c r="G1687" i="1"/>
  <c r="A1687" i="1"/>
  <c r="B1687" i="1"/>
  <c r="H1687" i="1"/>
  <c r="I1687" i="1"/>
  <c r="D1695" i="1"/>
  <c r="E1695" i="1"/>
  <c r="F1695" i="1"/>
  <c r="G1695" i="1"/>
  <c r="A1695" i="1"/>
  <c r="B1695" i="1"/>
  <c r="H1695" i="1"/>
  <c r="I1695" i="1"/>
  <c r="D1697" i="1"/>
  <c r="E1697" i="1"/>
  <c r="F1697" i="1"/>
  <c r="G1697" i="1"/>
  <c r="A1697" i="1"/>
  <c r="B1697" i="1"/>
  <c r="H1697" i="1"/>
  <c r="I1697" i="1"/>
  <c r="D1698" i="1"/>
  <c r="E1698" i="1"/>
  <c r="F1698" i="1"/>
  <c r="G1698" i="1"/>
  <c r="A1698" i="1"/>
  <c r="B1698" i="1"/>
  <c r="H1698" i="1"/>
  <c r="I1698" i="1"/>
  <c r="D1686" i="1"/>
  <c r="E1686" i="1"/>
  <c r="F1686" i="1"/>
  <c r="G1686" i="1"/>
  <c r="A1686" i="1"/>
  <c r="B1686" i="1"/>
  <c r="H1686" i="1"/>
  <c r="I1686" i="1"/>
  <c r="D1692" i="1"/>
  <c r="E1692" i="1"/>
  <c r="F1692" i="1"/>
  <c r="G1692" i="1"/>
  <c r="A1692" i="1"/>
  <c r="B1692" i="1"/>
  <c r="H1692" i="1"/>
  <c r="I1692" i="1"/>
  <c r="D1680" i="1"/>
  <c r="E1680" i="1"/>
  <c r="F1680" i="1"/>
  <c r="G1680" i="1"/>
  <c r="A1680" i="1"/>
  <c r="B1680" i="1"/>
  <c r="H1680" i="1"/>
  <c r="I1680" i="1"/>
  <c r="D1690" i="1"/>
  <c r="E1690" i="1"/>
  <c r="F1690" i="1"/>
  <c r="G1690" i="1"/>
  <c r="A1690" i="1"/>
  <c r="B1690" i="1"/>
  <c r="H1690" i="1"/>
  <c r="I1690" i="1"/>
  <c r="D1691" i="1"/>
  <c r="E1691" i="1"/>
  <c r="F1691" i="1"/>
  <c r="G1691" i="1"/>
  <c r="A1691" i="1"/>
  <c r="B1691" i="1"/>
  <c r="H1691" i="1"/>
  <c r="I1691" i="1"/>
  <c r="D3564" i="1"/>
  <c r="E3564" i="1"/>
  <c r="F3564" i="1"/>
  <c r="G3564" i="1"/>
  <c r="A3564" i="1"/>
  <c r="B3564" i="1"/>
  <c r="H3564" i="1"/>
  <c r="I3564" i="1"/>
  <c r="D2813" i="1"/>
  <c r="E2813" i="1"/>
  <c r="F2813" i="1"/>
  <c r="G2813" i="1"/>
  <c r="A2813" i="1"/>
  <c r="B2813" i="1"/>
  <c r="H2813" i="1"/>
  <c r="I2813" i="1"/>
  <c r="D754" i="1"/>
  <c r="E754" i="1"/>
  <c r="F754" i="1"/>
  <c r="G754" i="1"/>
  <c r="A754" i="1"/>
  <c r="B754" i="1"/>
  <c r="H754" i="1"/>
  <c r="I754" i="1"/>
  <c r="D1683" i="1"/>
  <c r="E1683" i="1"/>
  <c r="F1683" i="1"/>
  <c r="G1683" i="1"/>
  <c r="A1683" i="1"/>
  <c r="B1683" i="1"/>
  <c r="H1683" i="1"/>
  <c r="I1683" i="1"/>
  <c r="D3073" i="1"/>
  <c r="E3073" i="1"/>
  <c r="F3073" i="1"/>
  <c r="G3073" i="1"/>
  <c r="A3073" i="1"/>
  <c r="B3073" i="1"/>
  <c r="H3073" i="1"/>
  <c r="I3073" i="1"/>
  <c r="D2972" i="1"/>
  <c r="E2972" i="1"/>
  <c r="F2972" i="1"/>
  <c r="G2972" i="1"/>
  <c r="A2972" i="1"/>
  <c r="B2972" i="1"/>
  <c r="H2972" i="1"/>
  <c r="I2972" i="1"/>
  <c r="D1693" i="1"/>
  <c r="E1693" i="1"/>
  <c r="F1693" i="1"/>
  <c r="G1693" i="1"/>
  <c r="A1693" i="1"/>
  <c r="B1693" i="1"/>
  <c r="H1693" i="1"/>
  <c r="I1693" i="1"/>
  <c r="D1670" i="1"/>
  <c r="E1670" i="1"/>
  <c r="F1670" i="1"/>
  <c r="G1670" i="1"/>
  <c r="A1670" i="1"/>
  <c r="B1670" i="1"/>
  <c r="H1670" i="1"/>
  <c r="I1670" i="1"/>
  <c r="D1672" i="1"/>
  <c r="E1672" i="1"/>
  <c r="F1672" i="1"/>
  <c r="G1672" i="1"/>
  <c r="A1672" i="1"/>
  <c r="B1672" i="1"/>
  <c r="H1672" i="1"/>
  <c r="I1672" i="1"/>
  <c r="D1682" i="1"/>
  <c r="E1682" i="1"/>
  <c r="F1682" i="1"/>
  <c r="G1682" i="1"/>
  <c r="A1682" i="1"/>
  <c r="B1682" i="1"/>
  <c r="H1682" i="1"/>
  <c r="I1682" i="1"/>
  <c r="D751" i="1"/>
  <c r="E751" i="1"/>
  <c r="F751" i="1"/>
  <c r="G751" i="1"/>
  <c r="A751" i="1"/>
  <c r="B751" i="1"/>
  <c r="H751" i="1"/>
  <c r="I751" i="1"/>
  <c r="D1676" i="1"/>
  <c r="E1676" i="1"/>
  <c r="F1676" i="1"/>
  <c r="G1676" i="1"/>
  <c r="A1676" i="1"/>
  <c r="B1676" i="1"/>
  <c r="H1676" i="1"/>
  <c r="I1676" i="1"/>
  <c r="D744" i="1"/>
  <c r="E744" i="1"/>
  <c r="F744" i="1"/>
  <c r="G744" i="1"/>
  <c r="A744" i="1"/>
  <c r="B744" i="1"/>
  <c r="H744" i="1"/>
  <c r="I744" i="1"/>
  <c r="D1684" i="1"/>
  <c r="E1684" i="1"/>
  <c r="F1684" i="1"/>
  <c r="G1684" i="1"/>
  <c r="A1684" i="1"/>
  <c r="B1684" i="1"/>
  <c r="H1684" i="1"/>
  <c r="I1684" i="1"/>
  <c r="D752" i="1"/>
  <c r="E752" i="1"/>
  <c r="F752" i="1"/>
  <c r="G752" i="1"/>
  <c r="A752" i="1"/>
  <c r="B752" i="1"/>
  <c r="H752" i="1"/>
  <c r="I752" i="1"/>
  <c r="D747" i="1"/>
  <c r="E747" i="1"/>
  <c r="F747" i="1"/>
  <c r="G747" i="1"/>
  <c r="A747" i="1"/>
  <c r="B747" i="1"/>
  <c r="H747" i="1"/>
  <c r="I747" i="1"/>
  <c r="D1669" i="1"/>
  <c r="E1669" i="1"/>
  <c r="F1669" i="1"/>
  <c r="G1669" i="1"/>
  <c r="A1669" i="1"/>
  <c r="B1669" i="1"/>
  <c r="H1669" i="1"/>
  <c r="I1669" i="1"/>
  <c r="D753" i="1"/>
  <c r="E753" i="1"/>
  <c r="F753" i="1"/>
  <c r="G753" i="1"/>
  <c r="A753" i="1"/>
  <c r="B753" i="1"/>
  <c r="H753" i="1"/>
  <c r="I753" i="1"/>
  <c r="D1688" i="1"/>
  <c r="E1688" i="1"/>
  <c r="F1688" i="1"/>
  <c r="G1688" i="1"/>
  <c r="A1688" i="1"/>
  <c r="B1688" i="1"/>
  <c r="H1688" i="1"/>
  <c r="I1688" i="1"/>
  <c r="D2973" i="1"/>
  <c r="E2973" i="1"/>
  <c r="F2973" i="1"/>
  <c r="G2973" i="1"/>
  <c r="A2973" i="1"/>
  <c r="B2973" i="1"/>
  <c r="H2973" i="1"/>
  <c r="I2973" i="1"/>
  <c r="D1689" i="1"/>
  <c r="E1689" i="1"/>
  <c r="F1689" i="1"/>
  <c r="G1689" i="1"/>
  <c r="A1689" i="1"/>
  <c r="B1689" i="1"/>
  <c r="H1689" i="1"/>
  <c r="I1689" i="1"/>
  <c r="D1729" i="1"/>
  <c r="E1729" i="1"/>
  <c r="F1729" i="1"/>
  <c r="G1729" i="1"/>
  <c r="A1729" i="1"/>
  <c r="B1729" i="1"/>
  <c r="H1729" i="1"/>
  <c r="I1729" i="1"/>
  <c r="D334" i="1"/>
  <c r="E334" i="1"/>
  <c r="F334" i="1"/>
  <c r="G334" i="1"/>
  <c r="A334" i="1"/>
  <c r="B334" i="1"/>
  <c r="H334" i="1"/>
  <c r="I334" i="1"/>
  <c r="D1730" i="1"/>
  <c r="E1730" i="1"/>
  <c r="F1730" i="1"/>
  <c r="G1730" i="1"/>
  <c r="A1730" i="1"/>
  <c r="B1730" i="1"/>
  <c r="H1730" i="1"/>
  <c r="I1730" i="1"/>
  <c r="D342" i="1"/>
  <c r="E342" i="1"/>
  <c r="F342" i="1"/>
  <c r="G342" i="1"/>
  <c r="A342" i="1"/>
  <c r="B342" i="1"/>
  <c r="H342" i="1"/>
  <c r="I342" i="1"/>
  <c r="D1707" i="1"/>
  <c r="E1707" i="1"/>
  <c r="F1707" i="1"/>
  <c r="G1707" i="1"/>
  <c r="A1707" i="1"/>
  <c r="B1707" i="1"/>
  <c r="H1707" i="1"/>
  <c r="I1707" i="1"/>
  <c r="D332" i="1"/>
  <c r="E332" i="1"/>
  <c r="F332" i="1"/>
  <c r="G332" i="1"/>
  <c r="A332" i="1"/>
  <c r="B332" i="1"/>
  <c r="H332" i="1"/>
  <c r="I332" i="1"/>
  <c r="D338" i="1"/>
  <c r="E338" i="1"/>
  <c r="F338" i="1"/>
  <c r="G338" i="1"/>
  <c r="A338" i="1"/>
  <c r="B338" i="1"/>
  <c r="H338" i="1"/>
  <c r="I338" i="1"/>
  <c r="D343" i="1"/>
  <c r="E343" i="1"/>
  <c r="F343" i="1"/>
  <c r="G343" i="1"/>
  <c r="A343" i="1"/>
  <c r="B343" i="1"/>
  <c r="H343" i="1"/>
  <c r="I343" i="1"/>
  <c r="D337" i="1"/>
  <c r="E337" i="1"/>
  <c r="F337" i="1"/>
  <c r="G337" i="1"/>
  <c r="A337" i="1"/>
  <c r="B337" i="1"/>
  <c r="H337" i="1"/>
  <c r="I337" i="1"/>
  <c r="D1719" i="1"/>
  <c r="E1719" i="1"/>
  <c r="F1719" i="1"/>
  <c r="G1719" i="1"/>
  <c r="A1719" i="1"/>
  <c r="B1719" i="1"/>
  <c r="H1719" i="1"/>
  <c r="I1719" i="1"/>
  <c r="D1717" i="1"/>
  <c r="E1717" i="1"/>
  <c r="F1717" i="1"/>
  <c r="G1717" i="1"/>
  <c r="A1717" i="1"/>
  <c r="B1717" i="1"/>
  <c r="H1717" i="1"/>
  <c r="I1717" i="1"/>
  <c r="D1721" i="1"/>
  <c r="E1721" i="1"/>
  <c r="F1721" i="1"/>
  <c r="G1721" i="1"/>
  <c r="A1721" i="1"/>
  <c r="B1721" i="1"/>
  <c r="H1721" i="1"/>
  <c r="I1721" i="1"/>
  <c r="D333" i="1"/>
  <c r="E333" i="1"/>
  <c r="F333" i="1"/>
  <c r="G333" i="1"/>
  <c r="A333" i="1"/>
  <c r="B333" i="1"/>
  <c r="H333" i="1"/>
  <c r="I333" i="1"/>
  <c r="D339" i="1"/>
  <c r="E339" i="1"/>
  <c r="F339" i="1"/>
  <c r="G339" i="1"/>
  <c r="A339" i="1"/>
  <c r="B339" i="1"/>
  <c r="H339" i="1"/>
  <c r="I339" i="1"/>
  <c r="D1056" i="1"/>
  <c r="E1056" i="1"/>
  <c r="F1056" i="1"/>
  <c r="G1056" i="1"/>
  <c r="A1056" i="1"/>
  <c r="B1056" i="1"/>
  <c r="H1056" i="1"/>
  <c r="I1056" i="1"/>
  <c r="D1727" i="1"/>
  <c r="E1727" i="1"/>
  <c r="F1727" i="1"/>
  <c r="G1727" i="1"/>
  <c r="A1727" i="1"/>
  <c r="B1727" i="1"/>
  <c r="H1727" i="1"/>
  <c r="I1727" i="1"/>
  <c r="D1713" i="1"/>
  <c r="E1713" i="1"/>
  <c r="F1713" i="1"/>
  <c r="G1713" i="1"/>
  <c r="A1713" i="1"/>
  <c r="B1713" i="1"/>
  <c r="H1713" i="1"/>
  <c r="I1713" i="1"/>
  <c r="D1715" i="1"/>
  <c r="E1715" i="1"/>
  <c r="F1715" i="1"/>
  <c r="G1715" i="1"/>
  <c r="A1715" i="1"/>
  <c r="B1715" i="1"/>
  <c r="H1715" i="1"/>
  <c r="I1715" i="1"/>
  <c r="D1726" i="1"/>
  <c r="E1726" i="1"/>
  <c r="F1726" i="1"/>
  <c r="G1726" i="1"/>
  <c r="A1726" i="1"/>
  <c r="B1726" i="1"/>
  <c r="H1726" i="1"/>
  <c r="I1726" i="1"/>
  <c r="D1723" i="1"/>
  <c r="E1723" i="1"/>
  <c r="F1723" i="1"/>
  <c r="G1723" i="1"/>
  <c r="A1723" i="1"/>
  <c r="B1723" i="1"/>
  <c r="H1723" i="1"/>
  <c r="I1723" i="1"/>
  <c r="D1716" i="1"/>
  <c r="E1716" i="1"/>
  <c r="F1716" i="1"/>
  <c r="G1716" i="1"/>
  <c r="A1716" i="1"/>
  <c r="B1716" i="1"/>
  <c r="H1716" i="1"/>
  <c r="I1716" i="1"/>
  <c r="D331" i="1"/>
  <c r="E331" i="1"/>
  <c r="F331" i="1"/>
  <c r="G331" i="1"/>
  <c r="A331" i="1"/>
  <c r="B331" i="1"/>
  <c r="H331" i="1"/>
  <c r="I331" i="1"/>
  <c r="D1714" i="1"/>
  <c r="E1714" i="1"/>
  <c r="F1714" i="1"/>
  <c r="G1714" i="1"/>
  <c r="A1714" i="1"/>
  <c r="B1714" i="1"/>
  <c r="H1714" i="1"/>
  <c r="I1714" i="1"/>
  <c r="D1724" i="1"/>
  <c r="E1724" i="1"/>
  <c r="F1724" i="1"/>
  <c r="G1724" i="1"/>
  <c r="A1724" i="1"/>
  <c r="B1724" i="1"/>
  <c r="H1724" i="1"/>
  <c r="I1724" i="1"/>
  <c r="D194" i="1"/>
  <c r="E194" i="1"/>
  <c r="F194" i="1"/>
  <c r="G194" i="1"/>
  <c r="A194" i="1"/>
  <c r="B194" i="1"/>
  <c r="H194" i="1"/>
  <c r="I194" i="1"/>
  <c r="D336" i="1"/>
  <c r="E336" i="1"/>
  <c r="F336" i="1"/>
  <c r="G336" i="1"/>
  <c r="A336" i="1"/>
  <c r="B336" i="1"/>
  <c r="H336" i="1"/>
  <c r="I336" i="1"/>
  <c r="D1722" i="1"/>
  <c r="E1722" i="1"/>
  <c r="F1722" i="1"/>
  <c r="G1722" i="1"/>
  <c r="A1722" i="1"/>
  <c r="B1722" i="1"/>
  <c r="H1722" i="1"/>
  <c r="I1722" i="1"/>
  <c r="D1718" i="1"/>
  <c r="E1718" i="1"/>
  <c r="F1718" i="1"/>
  <c r="G1718" i="1"/>
  <c r="A1718" i="1"/>
  <c r="B1718" i="1"/>
  <c r="H1718" i="1"/>
  <c r="I1718" i="1"/>
  <c r="D1725" i="1"/>
  <c r="E1725" i="1"/>
  <c r="F1725" i="1"/>
  <c r="G1725" i="1"/>
  <c r="A1725" i="1"/>
  <c r="B1725" i="1"/>
  <c r="H1725" i="1"/>
  <c r="I1725" i="1"/>
  <c r="D1720" i="1"/>
  <c r="E1720" i="1"/>
  <c r="F1720" i="1"/>
  <c r="G1720" i="1"/>
  <c r="A1720" i="1"/>
  <c r="B1720" i="1"/>
  <c r="H1720" i="1"/>
  <c r="I1720" i="1"/>
  <c r="D1712" i="1"/>
  <c r="E1712" i="1"/>
  <c r="F1712" i="1"/>
  <c r="G1712" i="1"/>
  <c r="A1712" i="1"/>
  <c r="B1712" i="1"/>
  <c r="H1712" i="1"/>
  <c r="I1712" i="1"/>
  <c r="D329" i="1"/>
  <c r="E329" i="1"/>
  <c r="F329" i="1"/>
  <c r="G329" i="1"/>
  <c r="A329" i="1"/>
  <c r="B329" i="1"/>
  <c r="H329" i="1"/>
  <c r="I329" i="1"/>
  <c r="D341" i="1"/>
  <c r="E341" i="1"/>
  <c r="F341" i="1"/>
  <c r="G341" i="1"/>
  <c r="A341" i="1"/>
  <c r="B341" i="1"/>
  <c r="H341" i="1"/>
  <c r="I341" i="1"/>
  <c r="D340" i="1"/>
  <c r="E340" i="1"/>
  <c r="F340" i="1"/>
  <c r="G340" i="1"/>
  <c r="A340" i="1"/>
  <c r="B340" i="1"/>
  <c r="H340" i="1"/>
  <c r="I340" i="1"/>
  <c r="D330" i="1"/>
  <c r="E330" i="1"/>
  <c r="F330" i="1"/>
  <c r="G330" i="1"/>
  <c r="A330" i="1"/>
  <c r="B330" i="1"/>
  <c r="H330" i="1"/>
  <c r="I330" i="1"/>
  <c r="D1728" i="1"/>
  <c r="E1728" i="1"/>
  <c r="F1728" i="1"/>
  <c r="G1728" i="1"/>
  <c r="A1728" i="1"/>
  <c r="B1728" i="1"/>
  <c r="H1728" i="1"/>
  <c r="I1728" i="1"/>
  <c r="D1708" i="1"/>
  <c r="E1708" i="1"/>
  <c r="F1708" i="1"/>
  <c r="G1708" i="1"/>
  <c r="A1708" i="1"/>
  <c r="B1708" i="1"/>
  <c r="H1708" i="1"/>
  <c r="I1708" i="1"/>
  <c r="D335" i="1"/>
  <c r="E335" i="1"/>
  <c r="F335" i="1"/>
  <c r="G335" i="1"/>
  <c r="A335" i="1"/>
  <c r="B335" i="1"/>
  <c r="H335" i="1"/>
  <c r="I335" i="1"/>
  <c r="D1843" i="1"/>
  <c r="E1843" i="1"/>
  <c r="F1843" i="1"/>
  <c r="G1843" i="1"/>
  <c r="A1843" i="1"/>
  <c r="B1843" i="1"/>
  <c r="H1843" i="1"/>
  <c r="I1843" i="1"/>
  <c r="D1846" i="1"/>
  <c r="E1846" i="1"/>
  <c r="F1846" i="1"/>
  <c r="G1846" i="1"/>
  <c r="A1846" i="1"/>
  <c r="B1846" i="1"/>
  <c r="H1846" i="1"/>
  <c r="I1846" i="1"/>
  <c r="D2677" i="1"/>
  <c r="E2677" i="1"/>
  <c r="F2677" i="1"/>
  <c r="G2677" i="1"/>
  <c r="A2677" i="1"/>
  <c r="B2677" i="1"/>
  <c r="H2677" i="1"/>
  <c r="I2677" i="1"/>
  <c r="D2523" i="1"/>
  <c r="E2523" i="1"/>
  <c r="F2523" i="1"/>
  <c r="G2523" i="1"/>
  <c r="A2523" i="1"/>
  <c r="B2523" i="1"/>
  <c r="H2523" i="1"/>
  <c r="I2523" i="1"/>
  <c r="D2699" i="1"/>
  <c r="E2699" i="1"/>
  <c r="F2699" i="1"/>
  <c r="G2699" i="1"/>
  <c r="A2699" i="1"/>
  <c r="B2699" i="1"/>
  <c r="H2699" i="1"/>
  <c r="I2699" i="1"/>
  <c r="D1839" i="1"/>
  <c r="E1839" i="1"/>
  <c r="F1839" i="1"/>
  <c r="G1839" i="1"/>
  <c r="A1839" i="1"/>
  <c r="B1839" i="1"/>
  <c r="H1839" i="1"/>
  <c r="I1839" i="1"/>
  <c r="D1841" i="1"/>
  <c r="E1841" i="1"/>
  <c r="F1841" i="1"/>
  <c r="G1841" i="1"/>
  <c r="A1841" i="1"/>
  <c r="B1841" i="1"/>
  <c r="H1841" i="1"/>
  <c r="I1841" i="1"/>
  <c r="D1842" i="1"/>
  <c r="E1842" i="1"/>
  <c r="F1842" i="1"/>
  <c r="G1842" i="1"/>
  <c r="A1842" i="1"/>
  <c r="B1842" i="1"/>
  <c r="H1842" i="1"/>
  <c r="I1842" i="1"/>
  <c r="D2970" i="1"/>
  <c r="E2970" i="1"/>
  <c r="F2970" i="1"/>
  <c r="G2970" i="1"/>
  <c r="A2970" i="1"/>
  <c r="B2970" i="1"/>
  <c r="H2970" i="1"/>
  <c r="I2970" i="1"/>
  <c r="D2971" i="1"/>
  <c r="E2971" i="1"/>
  <c r="F2971" i="1"/>
  <c r="G2971" i="1"/>
  <c r="A2971" i="1"/>
  <c r="B2971" i="1"/>
  <c r="H2971" i="1"/>
  <c r="I2971" i="1"/>
  <c r="D277" i="1"/>
  <c r="E277" i="1"/>
  <c r="F277" i="1"/>
  <c r="G277" i="1"/>
  <c r="A277" i="1"/>
  <c r="B277" i="1"/>
  <c r="H277" i="1"/>
  <c r="I277" i="1"/>
  <c r="D278" i="1"/>
  <c r="E278" i="1"/>
  <c r="F278" i="1"/>
  <c r="G278" i="1"/>
  <c r="A278" i="1"/>
  <c r="B278" i="1"/>
  <c r="H278" i="1"/>
  <c r="I278" i="1"/>
  <c r="D2639" i="1"/>
  <c r="E2639" i="1"/>
  <c r="F2639" i="1"/>
  <c r="G2639" i="1"/>
  <c r="A2639" i="1"/>
  <c r="B2639" i="1"/>
  <c r="H2639" i="1"/>
  <c r="I2639" i="1"/>
  <c r="D1844" i="1"/>
  <c r="E1844" i="1"/>
  <c r="F1844" i="1"/>
  <c r="G1844" i="1"/>
  <c r="A1844" i="1"/>
  <c r="B1844" i="1"/>
  <c r="H1844" i="1"/>
  <c r="I1844" i="1"/>
  <c r="D1845" i="1"/>
  <c r="E1845" i="1"/>
  <c r="F1845" i="1"/>
  <c r="G1845" i="1"/>
  <c r="A1845" i="1"/>
  <c r="B1845" i="1"/>
  <c r="H1845" i="1"/>
  <c r="I1845" i="1"/>
  <c r="D1840" i="1"/>
  <c r="E1840" i="1"/>
  <c r="F1840" i="1"/>
  <c r="G1840" i="1"/>
  <c r="A1840" i="1"/>
  <c r="B1840" i="1"/>
  <c r="H1840" i="1"/>
  <c r="I1840" i="1"/>
  <c r="D2522" i="1"/>
  <c r="E2522" i="1"/>
  <c r="F2522" i="1"/>
  <c r="G2522" i="1"/>
  <c r="A2522" i="1"/>
  <c r="B2522" i="1"/>
  <c r="H2522" i="1"/>
  <c r="I2522" i="1"/>
  <c r="D2698" i="1"/>
  <c r="E2698" i="1"/>
  <c r="F2698" i="1"/>
  <c r="G2698" i="1"/>
  <c r="A2698" i="1"/>
  <c r="B2698" i="1"/>
  <c r="H2698" i="1"/>
  <c r="I2698" i="1"/>
  <c r="D2678" i="1"/>
  <c r="E2678" i="1"/>
  <c r="F2678" i="1"/>
  <c r="G2678" i="1"/>
  <c r="A2678" i="1"/>
  <c r="B2678" i="1"/>
  <c r="H2678" i="1"/>
  <c r="I2678" i="1"/>
  <c r="D2518" i="1"/>
  <c r="E2518" i="1"/>
  <c r="F2518" i="1"/>
  <c r="G2518" i="1"/>
  <c r="A2518" i="1"/>
  <c r="B2518" i="1"/>
  <c r="H2518" i="1"/>
  <c r="I2518" i="1"/>
  <c r="D2272" i="1"/>
  <c r="E2272" i="1"/>
  <c r="F2272" i="1"/>
  <c r="G2272" i="1"/>
  <c r="A2272" i="1"/>
  <c r="B2272" i="1"/>
  <c r="H2272" i="1"/>
  <c r="I2272" i="1"/>
  <c r="D2274" i="1"/>
  <c r="E2274" i="1"/>
  <c r="F2274" i="1"/>
  <c r="G2274" i="1"/>
  <c r="A2274" i="1"/>
  <c r="B2274" i="1"/>
  <c r="H2274" i="1"/>
  <c r="I2274" i="1"/>
  <c r="D2269" i="1"/>
  <c r="E2269" i="1"/>
  <c r="F2269" i="1"/>
  <c r="G2269" i="1"/>
  <c r="A2269" i="1"/>
  <c r="B2269" i="1"/>
  <c r="H2269" i="1"/>
  <c r="I2269" i="1"/>
  <c r="D2271" i="1"/>
  <c r="E2271" i="1"/>
  <c r="F2271" i="1"/>
  <c r="G2271" i="1"/>
  <c r="A2271" i="1"/>
  <c r="B2271" i="1"/>
  <c r="H2271" i="1"/>
  <c r="I2271" i="1"/>
  <c r="D2267" i="1"/>
  <c r="E2267" i="1"/>
  <c r="F2267" i="1"/>
  <c r="G2267" i="1"/>
  <c r="A2267" i="1"/>
  <c r="B2267" i="1"/>
  <c r="H2267" i="1"/>
  <c r="I2267" i="1"/>
  <c r="D2270" i="1"/>
  <c r="E2270" i="1"/>
  <c r="F2270" i="1"/>
  <c r="G2270" i="1"/>
  <c r="A2270" i="1"/>
  <c r="B2270" i="1"/>
  <c r="H2270" i="1"/>
  <c r="I2270" i="1"/>
  <c r="D2268" i="1"/>
  <c r="E2268" i="1"/>
  <c r="F2268" i="1"/>
  <c r="G2268" i="1"/>
  <c r="A2268" i="1"/>
  <c r="B2268" i="1"/>
  <c r="H2268" i="1"/>
  <c r="I2268" i="1"/>
  <c r="D2273" i="1"/>
  <c r="E2273" i="1"/>
  <c r="F2273" i="1"/>
  <c r="G2273" i="1"/>
  <c r="A2273" i="1"/>
  <c r="B2273" i="1"/>
  <c r="H2273" i="1"/>
  <c r="I2273" i="1"/>
  <c r="D1172" i="1"/>
  <c r="E1172" i="1"/>
  <c r="F1172" i="1"/>
  <c r="G1172" i="1"/>
  <c r="A1172" i="1"/>
  <c r="B1172" i="1"/>
  <c r="H1172" i="1"/>
  <c r="I1172" i="1"/>
  <c r="D1173" i="1"/>
  <c r="E1173" i="1"/>
  <c r="F1173" i="1"/>
  <c r="G1173" i="1"/>
  <c r="A1173" i="1"/>
  <c r="B1173" i="1"/>
  <c r="H1173" i="1"/>
  <c r="I1173" i="1"/>
  <c r="D2279" i="1"/>
  <c r="E2279" i="1"/>
  <c r="F2279" i="1"/>
  <c r="G2279" i="1"/>
  <c r="A2279" i="1"/>
  <c r="B2279" i="1"/>
  <c r="H2279" i="1"/>
  <c r="I2279" i="1"/>
  <c r="D1227" i="1"/>
  <c r="E1227" i="1"/>
  <c r="F1227" i="1"/>
  <c r="G1227" i="1"/>
  <c r="A1227" i="1"/>
  <c r="B1227" i="1"/>
  <c r="H1227" i="1"/>
  <c r="I1227" i="1"/>
  <c r="D2280" i="1"/>
  <c r="E2280" i="1"/>
  <c r="F2280" i="1"/>
  <c r="G2280" i="1"/>
  <c r="A2280" i="1"/>
  <c r="B2280" i="1"/>
  <c r="H2280" i="1"/>
  <c r="I2280" i="1"/>
  <c r="D2281" i="1"/>
  <c r="E2281" i="1"/>
  <c r="F2281" i="1"/>
  <c r="G2281" i="1"/>
  <c r="A2281" i="1"/>
  <c r="B2281" i="1"/>
  <c r="H2281" i="1"/>
  <c r="I2281" i="1"/>
  <c r="D2277" i="1"/>
  <c r="E2277" i="1"/>
  <c r="F2277" i="1"/>
  <c r="G2277" i="1"/>
  <c r="A2277" i="1"/>
  <c r="B2277" i="1"/>
  <c r="H2277" i="1"/>
  <c r="I2277" i="1"/>
  <c r="D2602" i="1"/>
  <c r="E2602" i="1"/>
  <c r="F2602" i="1"/>
  <c r="G2602" i="1"/>
  <c r="A2602" i="1"/>
  <c r="B2602" i="1"/>
  <c r="H2602" i="1"/>
  <c r="I2602" i="1"/>
  <c r="D2667" i="1"/>
  <c r="E2667" i="1"/>
  <c r="F2667" i="1"/>
  <c r="G2667" i="1"/>
  <c r="A2667" i="1"/>
  <c r="B2667" i="1"/>
  <c r="H2667" i="1"/>
  <c r="I2667" i="1"/>
  <c r="D2601" i="1"/>
  <c r="E2601" i="1"/>
  <c r="F2601" i="1"/>
  <c r="G2601" i="1"/>
  <c r="A2601" i="1"/>
  <c r="B2601" i="1"/>
  <c r="H2601" i="1"/>
  <c r="I2601" i="1"/>
  <c r="D1226" i="1"/>
  <c r="E1226" i="1"/>
  <c r="F1226" i="1"/>
  <c r="G1226" i="1"/>
  <c r="A1226" i="1"/>
  <c r="B1226" i="1"/>
  <c r="H1226" i="1"/>
  <c r="I1226" i="1"/>
  <c r="D2276" i="1"/>
  <c r="E2276" i="1"/>
  <c r="F2276" i="1"/>
  <c r="G2276" i="1"/>
  <c r="A2276" i="1"/>
  <c r="B2276" i="1"/>
  <c r="H2276" i="1"/>
  <c r="I2276" i="1"/>
  <c r="D2670" i="1"/>
  <c r="E2670" i="1"/>
  <c r="F2670" i="1"/>
  <c r="G2670" i="1"/>
  <c r="A2670" i="1"/>
  <c r="B2670" i="1"/>
  <c r="H2670" i="1"/>
  <c r="I2670" i="1"/>
  <c r="D2668" i="1"/>
  <c r="E2668" i="1"/>
  <c r="F2668" i="1"/>
  <c r="G2668" i="1"/>
  <c r="A2668" i="1"/>
  <c r="B2668" i="1"/>
  <c r="H2668" i="1"/>
  <c r="I2668" i="1"/>
  <c r="D2478" i="1"/>
  <c r="E2478" i="1"/>
  <c r="F2478" i="1"/>
  <c r="G2478" i="1"/>
  <c r="A2478" i="1"/>
  <c r="B2478" i="1"/>
  <c r="H2478" i="1"/>
  <c r="I2478" i="1"/>
  <c r="D1225" i="1"/>
  <c r="E1225" i="1"/>
  <c r="F1225" i="1"/>
  <c r="G1225" i="1"/>
  <c r="A1225" i="1"/>
  <c r="B1225" i="1"/>
  <c r="H1225" i="1"/>
  <c r="I1225" i="1"/>
  <c r="D3101" i="1"/>
  <c r="E3101" i="1"/>
  <c r="F3101" i="1"/>
  <c r="G3101" i="1"/>
  <c r="A3101" i="1"/>
  <c r="B3101" i="1"/>
  <c r="H3101" i="1"/>
  <c r="I3101" i="1"/>
  <c r="D1174" i="1"/>
  <c r="E1174" i="1"/>
  <c r="F1174" i="1"/>
  <c r="G1174" i="1"/>
  <c r="A1174" i="1"/>
  <c r="B1174" i="1"/>
  <c r="H1174" i="1"/>
  <c r="I1174" i="1"/>
  <c r="D2479" i="1"/>
  <c r="E2479" i="1"/>
  <c r="F2479" i="1"/>
  <c r="G2479" i="1"/>
  <c r="A2479" i="1"/>
  <c r="B2479" i="1"/>
  <c r="H2479" i="1"/>
  <c r="I2479" i="1"/>
  <c r="D2278" i="1"/>
  <c r="E2278" i="1"/>
  <c r="F2278" i="1"/>
  <c r="G2278" i="1"/>
  <c r="A2278" i="1"/>
  <c r="B2278" i="1"/>
  <c r="H2278" i="1"/>
  <c r="I2278" i="1"/>
  <c r="D2275" i="1"/>
  <c r="E2275" i="1"/>
  <c r="F2275" i="1"/>
  <c r="G2275" i="1"/>
  <c r="A2275" i="1"/>
  <c r="B2275" i="1"/>
  <c r="H2275" i="1"/>
  <c r="I2275" i="1"/>
  <c r="D2669" i="1"/>
  <c r="E2669" i="1"/>
  <c r="F2669" i="1"/>
  <c r="G2669" i="1"/>
  <c r="A2669" i="1"/>
  <c r="B2669" i="1"/>
  <c r="H2669" i="1"/>
  <c r="I2669" i="1"/>
  <c r="D97" i="1"/>
  <c r="E97" i="1"/>
  <c r="F97" i="1"/>
  <c r="G97" i="1"/>
  <c r="A97" i="1"/>
  <c r="B97" i="1"/>
  <c r="H97" i="1"/>
  <c r="I97" i="1"/>
  <c r="D3110" i="1"/>
  <c r="E3110" i="1"/>
  <c r="F3110" i="1"/>
  <c r="G3110" i="1"/>
  <c r="A3110" i="1"/>
  <c r="B3110" i="1"/>
  <c r="H3110" i="1"/>
  <c r="I3110" i="1"/>
  <c r="D2291" i="1"/>
  <c r="E2291" i="1"/>
  <c r="F2291" i="1"/>
  <c r="G2291" i="1"/>
  <c r="A2291" i="1"/>
  <c r="B2291" i="1"/>
  <c r="H2291" i="1"/>
  <c r="I2291" i="1"/>
  <c r="D2295" i="1"/>
  <c r="E2295" i="1"/>
  <c r="F2295" i="1"/>
  <c r="G2295" i="1"/>
  <c r="A2295" i="1"/>
  <c r="B2295" i="1"/>
  <c r="H2295" i="1"/>
  <c r="I2295" i="1"/>
  <c r="D2299" i="1"/>
  <c r="E2299" i="1"/>
  <c r="F2299" i="1"/>
  <c r="G2299" i="1"/>
  <c r="A2299" i="1"/>
  <c r="B2299" i="1"/>
  <c r="H2299" i="1"/>
  <c r="I2299" i="1"/>
  <c r="D3108" i="1"/>
  <c r="E3108" i="1"/>
  <c r="F3108" i="1"/>
  <c r="G3108" i="1"/>
  <c r="A3108" i="1"/>
  <c r="B3108" i="1"/>
  <c r="H3108" i="1"/>
  <c r="I3108" i="1"/>
  <c r="D2288" i="1"/>
  <c r="E2288" i="1"/>
  <c r="F2288" i="1"/>
  <c r="G2288" i="1"/>
  <c r="A2288" i="1"/>
  <c r="B2288" i="1"/>
  <c r="H2288" i="1"/>
  <c r="I2288" i="1"/>
  <c r="D3219" i="1"/>
  <c r="E3219" i="1"/>
  <c r="F3219" i="1"/>
  <c r="G3219" i="1"/>
  <c r="A3219" i="1"/>
  <c r="B3219" i="1"/>
  <c r="H3219" i="1"/>
  <c r="I3219" i="1"/>
  <c r="D195" i="1"/>
  <c r="E195" i="1"/>
  <c r="F195" i="1"/>
  <c r="G195" i="1"/>
  <c r="A195" i="1"/>
  <c r="B195" i="1"/>
  <c r="H195" i="1"/>
  <c r="I195" i="1"/>
  <c r="D2282" i="1"/>
  <c r="E2282" i="1"/>
  <c r="F2282" i="1"/>
  <c r="G2282" i="1"/>
  <c r="A2282" i="1"/>
  <c r="B2282" i="1"/>
  <c r="H2282" i="1"/>
  <c r="I2282" i="1"/>
  <c r="D196" i="1"/>
  <c r="E196" i="1"/>
  <c r="F196" i="1"/>
  <c r="G196" i="1"/>
  <c r="A196" i="1"/>
  <c r="B196" i="1"/>
  <c r="H196" i="1"/>
  <c r="I196" i="1"/>
  <c r="D2485" i="1"/>
  <c r="E2485" i="1"/>
  <c r="F2485" i="1"/>
  <c r="G2485" i="1"/>
  <c r="A2485" i="1"/>
  <c r="B2485" i="1"/>
  <c r="H2485" i="1"/>
  <c r="I2485" i="1"/>
  <c r="D1228" i="1"/>
  <c r="E1228" i="1"/>
  <c r="F1228" i="1"/>
  <c r="G1228" i="1"/>
  <c r="A1228" i="1"/>
  <c r="B1228" i="1"/>
  <c r="H1228" i="1"/>
  <c r="I1228" i="1"/>
  <c r="D2290" i="1"/>
  <c r="E2290" i="1"/>
  <c r="F2290" i="1"/>
  <c r="G2290" i="1"/>
  <c r="A2290" i="1"/>
  <c r="B2290" i="1"/>
  <c r="H2290" i="1"/>
  <c r="I2290" i="1"/>
  <c r="D2302" i="1"/>
  <c r="E2302" i="1"/>
  <c r="F2302" i="1"/>
  <c r="G2302" i="1"/>
  <c r="A2302" i="1"/>
  <c r="B2302" i="1"/>
  <c r="H2302" i="1"/>
  <c r="I2302" i="1"/>
  <c r="D2306" i="1"/>
  <c r="E2306" i="1"/>
  <c r="F2306" i="1"/>
  <c r="G2306" i="1"/>
  <c r="A2306" i="1"/>
  <c r="B2306" i="1"/>
  <c r="H2306" i="1"/>
  <c r="I2306" i="1"/>
  <c r="D2284" i="1"/>
  <c r="E2284" i="1"/>
  <c r="F2284" i="1"/>
  <c r="G2284" i="1"/>
  <c r="A2284" i="1"/>
  <c r="B2284" i="1"/>
  <c r="H2284" i="1"/>
  <c r="I2284" i="1"/>
  <c r="D2303" i="1"/>
  <c r="E2303" i="1"/>
  <c r="F2303" i="1"/>
  <c r="G2303" i="1"/>
  <c r="A2303" i="1"/>
  <c r="B2303" i="1"/>
  <c r="H2303" i="1"/>
  <c r="I2303" i="1"/>
  <c r="D2293" i="1"/>
  <c r="E2293" i="1"/>
  <c r="F2293" i="1"/>
  <c r="G2293" i="1"/>
  <c r="A2293" i="1"/>
  <c r="B2293" i="1"/>
  <c r="H2293" i="1"/>
  <c r="I2293" i="1"/>
  <c r="D3024" i="1"/>
  <c r="E3024" i="1"/>
  <c r="F3024" i="1"/>
  <c r="G3024" i="1"/>
  <c r="A3024" i="1"/>
  <c r="B3024" i="1"/>
  <c r="H3024" i="1"/>
  <c r="I3024" i="1"/>
  <c r="D1781" i="1"/>
  <c r="E1781" i="1"/>
  <c r="F1781" i="1"/>
  <c r="G1781" i="1"/>
  <c r="A1781" i="1"/>
  <c r="B1781" i="1"/>
  <c r="H1781" i="1"/>
  <c r="I1781" i="1"/>
  <c r="D2297" i="1"/>
  <c r="E2297" i="1"/>
  <c r="F2297" i="1"/>
  <c r="G2297" i="1"/>
  <c r="A2297" i="1"/>
  <c r="B2297" i="1"/>
  <c r="H2297" i="1"/>
  <c r="I2297" i="1"/>
  <c r="D2286" i="1"/>
  <c r="E2286" i="1"/>
  <c r="F2286" i="1"/>
  <c r="G2286" i="1"/>
  <c r="A2286" i="1"/>
  <c r="B2286" i="1"/>
  <c r="H2286" i="1"/>
  <c r="I2286" i="1"/>
  <c r="D2305" i="1"/>
  <c r="E2305" i="1"/>
  <c r="F2305" i="1"/>
  <c r="G2305" i="1"/>
  <c r="A2305" i="1"/>
  <c r="B2305" i="1"/>
  <c r="H2305" i="1"/>
  <c r="I2305" i="1"/>
  <c r="D2296" i="1"/>
  <c r="E2296" i="1"/>
  <c r="F2296" i="1"/>
  <c r="G2296" i="1"/>
  <c r="A2296" i="1"/>
  <c r="B2296" i="1"/>
  <c r="H2296" i="1"/>
  <c r="I2296" i="1"/>
  <c r="D2298" i="1"/>
  <c r="E2298" i="1"/>
  <c r="F2298" i="1"/>
  <c r="G2298" i="1"/>
  <c r="A2298" i="1"/>
  <c r="B2298" i="1"/>
  <c r="H2298" i="1"/>
  <c r="I2298" i="1"/>
  <c r="D2557" i="1"/>
  <c r="E2557" i="1"/>
  <c r="F2557" i="1"/>
  <c r="G2557" i="1"/>
  <c r="A2557" i="1"/>
  <c r="B2557" i="1"/>
  <c r="H2557" i="1"/>
  <c r="I2557" i="1"/>
  <c r="D2741" i="1"/>
  <c r="E2741" i="1"/>
  <c r="F2741" i="1"/>
  <c r="G2741" i="1"/>
  <c r="A2741" i="1"/>
  <c r="B2741" i="1"/>
  <c r="H2741" i="1"/>
  <c r="I2741" i="1"/>
  <c r="D3109" i="1"/>
  <c r="E3109" i="1"/>
  <c r="F3109" i="1"/>
  <c r="G3109" i="1"/>
  <c r="A3109" i="1"/>
  <c r="B3109" i="1"/>
  <c r="H3109" i="1"/>
  <c r="I3109" i="1"/>
  <c r="D3196" i="1"/>
  <c r="E3196" i="1"/>
  <c r="F3196" i="1"/>
  <c r="G3196" i="1"/>
  <c r="A3196" i="1"/>
  <c r="B3196" i="1"/>
  <c r="H3196" i="1"/>
  <c r="I3196" i="1"/>
  <c r="D3071" i="1"/>
  <c r="E3071" i="1"/>
  <c r="F3071" i="1"/>
  <c r="G3071" i="1"/>
  <c r="A3071" i="1"/>
  <c r="B3071" i="1"/>
  <c r="H3071" i="1"/>
  <c r="I3071" i="1"/>
  <c r="D2300" i="1"/>
  <c r="E2300" i="1"/>
  <c r="F2300" i="1"/>
  <c r="G2300" i="1"/>
  <c r="A2300" i="1"/>
  <c r="B2300" i="1"/>
  <c r="H2300" i="1"/>
  <c r="I2300" i="1"/>
  <c r="D2283" i="1"/>
  <c r="E2283" i="1"/>
  <c r="F2283" i="1"/>
  <c r="G2283" i="1"/>
  <c r="A2283" i="1"/>
  <c r="B2283" i="1"/>
  <c r="H2283" i="1"/>
  <c r="I2283" i="1"/>
  <c r="D2285" i="1"/>
  <c r="E2285" i="1"/>
  <c r="F2285" i="1"/>
  <c r="G2285" i="1"/>
  <c r="A2285" i="1"/>
  <c r="B2285" i="1"/>
  <c r="H2285" i="1"/>
  <c r="I2285" i="1"/>
  <c r="D1229" i="1"/>
  <c r="E1229" i="1"/>
  <c r="F1229" i="1"/>
  <c r="G1229" i="1"/>
  <c r="A1229" i="1"/>
  <c r="B1229" i="1"/>
  <c r="H1229" i="1"/>
  <c r="I1229" i="1"/>
  <c r="D2301" i="1"/>
  <c r="E2301" i="1"/>
  <c r="F2301" i="1"/>
  <c r="G2301" i="1"/>
  <c r="A2301" i="1"/>
  <c r="B2301" i="1"/>
  <c r="H2301" i="1"/>
  <c r="I2301" i="1"/>
  <c r="D2289" i="1"/>
  <c r="E2289" i="1"/>
  <c r="F2289" i="1"/>
  <c r="G2289" i="1"/>
  <c r="A2289" i="1"/>
  <c r="B2289" i="1"/>
  <c r="H2289" i="1"/>
  <c r="I2289" i="1"/>
  <c r="D2294" i="1"/>
  <c r="E2294" i="1"/>
  <c r="F2294" i="1"/>
  <c r="G2294" i="1"/>
  <c r="A2294" i="1"/>
  <c r="B2294" i="1"/>
  <c r="H2294" i="1"/>
  <c r="I2294" i="1"/>
  <c r="D2287" i="1"/>
  <c r="E2287" i="1"/>
  <c r="F2287" i="1"/>
  <c r="G2287" i="1"/>
  <c r="A2287" i="1"/>
  <c r="B2287" i="1"/>
  <c r="H2287" i="1"/>
  <c r="I2287" i="1"/>
  <c r="D2292" i="1"/>
  <c r="E2292" i="1"/>
  <c r="F2292" i="1"/>
  <c r="G2292" i="1"/>
  <c r="A2292" i="1"/>
  <c r="B2292" i="1"/>
  <c r="H2292" i="1"/>
  <c r="I2292" i="1"/>
  <c r="D2304" i="1"/>
  <c r="E2304" i="1"/>
  <c r="F2304" i="1"/>
  <c r="G2304" i="1"/>
  <c r="A2304" i="1"/>
  <c r="B2304" i="1"/>
  <c r="H2304" i="1"/>
  <c r="I2304" i="1"/>
  <c r="D603" i="1"/>
  <c r="E603" i="1"/>
  <c r="F603" i="1"/>
  <c r="G603" i="1"/>
  <c r="A603" i="1"/>
  <c r="B603" i="1"/>
  <c r="H603" i="1"/>
  <c r="I603" i="1"/>
  <c r="D2366" i="1"/>
  <c r="E2366" i="1"/>
  <c r="F2366" i="1"/>
  <c r="G2366" i="1"/>
  <c r="A2366" i="1"/>
  <c r="B2366" i="1"/>
  <c r="H2366" i="1"/>
  <c r="I2366" i="1"/>
  <c r="D2365" i="1"/>
  <c r="E2365" i="1"/>
  <c r="F2365" i="1"/>
  <c r="G2365" i="1"/>
  <c r="A2365" i="1"/>
  <c r="B2365" i="1"/>
  <c r="H2365" i="1"/>
  <c r="I2365" i="1"/>
  <c r="D601" i="1"/>
  <c r="E601" i="1"/>
  <c r="F601" i="1"/>
  <c r="G601" i="1"/>
  <c r="A601" i="1"/>
  <c r="B601" i="1"/>
  <c r="H601" i="1"/>
  <c r="I601" i="1"/>
  <c r="D602" i="1"/>
  <c r="E602" i="1"/>
  <c r="F602" i="1"/>
  <c r="G602" i="1"/>
  <c r="A602" i="1"/>
  <c r="B602" i="1"/>
  <c r="H602" i="1"/>
  <c r="I602" i="1"/>
  <c r="D3332" i="1"/>
  <c r="E3332" i="1"/>
  <c r="F3332" i="1"/>
  <c r="G3332" i="1"/>
  <c r="A3332" i="1"/>
  <c r="B3332" i="1"/>
  <c r="H3332" i="1"/>
  <c r="I3332" i="1"/>
  <c r="D3118" i="1"/>
  <c r="E3118" i="1"/>
  <c r="F3118" i="1"/>
  <c r="G3118" i="1"/>
  <c r="A3118" i="1"/>
  <c r="B3118" i="1"/>
  <c r="H3118" i="1"/>
  <c r="I3118" i="1"/>
  <c r="D3143" i="1"/>
  <c r="E3143" i="1"/>
  <c r="F3143" i="1"/>
  <c r="G3143" i="1"/>
  <c r="A3143" i="1"/>
  <c r="B3143" i="1"/>
  <c r="H3143" i="1"/>
  <c r="I3143" i="1"/>
  <c r="D2367" i="1"/>
  <c r="E2367" i="1"/>
  <c r="F2367" i="1"/>
  <c r="G2367" i="1"/>
  <c r="A2367" i="1"/>
  <c r="B2367" i="1"/>
  <c r="H2367" i="1"/>
  <c r="I2367" i="1"/>
  <c r="D2371" i="1"/>
  <c r="E2371" i="1"/>
  <c r="F2371" i="1"/>
  <c r="G2371" i="1"/>
  <c r="A2371" i="1"/>
  <c r="B2371" i="1"/>
  <c r="H2371" i="1"/>
  <c r="I2371" i="1"/>
  <c r="D2370" i="1"/>
  <c r="E2370" i="1"/>
  <c r="F2370" i="1"/>
  <c r="G2370" i="1"/>
  <c r="A2370" i="1"/>
  <c r="B2370" i="1"/>
  <c r="H2370" i="1"/>
  <c r="I2370" i="1"/>
  <c r="D3560" i="1"/>
  <c r="E3560" i="1"/>
  <c r="F3560" i="1"/>
  <c r="G3560" i="1"/>
  <c r="A3560" i="1"/>
  <c r="B3560" i="1"/>
  <c r="H3560" i="1"/>
  <c r="I3560" i="1"/>
  <c r="D2600" i="1"/>
  <c r="E2600" i="1"/>
  <c r="F2600" i="1"/>
  <c r="G2600" i="1"/>
  <c r="A2600" i="1"/>
  <c r="B2600" i="1"/>
  <c r="H2600" i="1"/>
  <c r="I2600" i="1"/>
  <c r="D3561" i="1"/>
  <c r="E3561" i="1"/>
  <c r="F3561" i="1"/>
  <c r="G3561" i="1"/>
  <c r="A3561" i="1"/>
  <c r="B3561" i="1"/>
  <c r="H3561" i="1"/>
  <c r="I3561" i="1"/>
  <c r="D2368" i="1"/>
  <c r="E2368" i="1"/>
  <c r="F2368" i="1"/>
  <c r="G2368" i="1"/>
  <c r="A2368" i="1"/>
  <c r="B2368" i="1"/>
  <c r="H2368" i="1"/>
  <c r="I2368" i="1"/>
  <c r="D2369" i="1"/>
  <c r="E2369" i="1"/>
  <c r="F2369" i="1"/>
  <c r="G2369" i="1"/>
  <c r="A2369" i="1"/>
  <c r="B2369" i="1"/>
  <c r="H2369" i="1"/>
  <c r="I2369" i="1"/>
  <c r="D2412" i="1"/>
  <c r="E2412" i="1"/>
  <c r="F2412" i="1"/>
  <c r="G2412" i="1"/>
  <c r="A2412" i="1"/>
  <c r="B2412" i="1"/>
  <c r="H2412" i="1"/>
  <c r="I2412" i="1"/>
  <c r="D2413" i="1"/>
  <c r="E2413" i="1"/>
  <c r="F2413" i="1"/>
  <c r="G2413" i="1"/>
  <c r="A2413" i="1"/>
  <c r="B2413" i="1"/>
  <c r="H2413" i="1"/>
  <c r="I2413" i="1"/>
  <c r="D2420" i="1"/>
  <c r="E2420" i="1"/>
  <c r="F2420" i="1"/>
  <c r="G2420" i="1"/>
  <c r="A2420" i="1"/>
  <c r="B2420" i="1"/>
  <c r="H2420" i="1"/>
  <c r="I2420" i="1"/>
  <c r="D2421" i="1"/>
  <c r="E2421" i="1"/>
  <c r="F2421" i="1"/>
  <c r="G2421" i="1"/>
  <c r="A2421" i="1"/>
  <c r="B2421" i="1"/>
  <c r="H2421" i="1"/>
  <c r="I2421" i="1"/>
  <c r="D2423" i="1"/>
  <c r="E2423" i="1"/>
  <c r="F2423" i="1"/>
  <c r="G2423" i="1"/>
  <c r="A2423" i="1"/>
  <c r="B2423" i="1"/>
  <c r="H2423" i="1"/>
  <c r="I2423" i="1"/>
  <c r="D2419" i="1"/>
  <c r="E2419" i="1"/>
  <c r="F2419" i="1"/>
  <c r="G2419" i="1"/>
  <c r="A2419" i="1"/>
  <c r="B2419" i="1"/>
  <c r="H2419" i="1"/>
  <c r="I2419" i="1"/>
  <c r="D2424" i="1"/>
  <c r="E2424" i="1"/>
  <c r="F2424" i="1"/>
  <c r="G2424" i="1"/>
  <c r="A2424" i="1"/>
  <c r="B2424" i="1"/>
  <c r="H2424" i="1"/>
  <c r="I2424" i="1"/>
  <c r="D3563" i="1"/>
  <c r="E3563" i="1"/>
  <c r="F3563" i="1"/>
  <c r="G3563" i="1"/>
  <c r="A3563" i="1"/>
  <c r="B3563" i="1"/>
  <c r="H3563" i="1"/>
  <c r="I3563" i="1"/>
  <c r="D2418" i="1"/>
  <c r="E2418" i="1"/>
  <c r="F2418" i="1"/>
  <c r="G2418" i="1"/>
  <c r="A2418" i="1"/>
  <c r="B2418" i="1"/>
  <c r="H2418" i="1"/>
  <c r="I2418" i="1"/>
  <c r="D2414" i="1"/>
  <c r="E2414" i="1"/>
  <c r="F2414" i="1"/>
  <c r="G2414" i="1"/>
  <c r="A2414" i="1"/>
  <c r="B2414" i="1"/>
  <c r="H2414" i="1"/>
  <c r="I2414" i="1"/>
  <c r="D2422" i="1"/>
  <c r="E2422" i="1"/>
  <c r="F2422" i="1"/>
  <c r="G2422" i="1"/>
  <c r="A2422" i="1"/>
  <c r="B2422" i="1"/>
  <c r="H2422" i="1"/>
  <c r="I2422" i="1"/>
  <c r="D2819" i="1"/>
  <c r="E2819" i="1"/>
  <c r="F2819" i="1"/>
  <c r="G2819" i="1"/>
  <c r="A2819" i="1"/>
  <c r="B2819" i="1"/>
  <c r="H2819" i="1"/>
  <c r="I2819" i="1"/>
  <c r="D3562" i="1"/>
  <c r="E3562" i="1"/>
  <c r="F3562" i="1"/>
  <c r="G3562" i="1"/>
  <c r="A3562" i="1"/>
  <c r="B3562" i="1"/>
  <c r="H3562" i="1"/>
  <c r="I3562" i="1"/>
  <c r="D2416" i="1"/>
  <c r="E2416" i="1"/>
  <c r="F2416" i="1"/>
  <c r="G2416" i="1"/>
  <c r="A2416" i="1"/>
  <c r="B2416" i="1"/>
  <c r="H2416" i="1"/>
  <c r="I2416" i="1"/>
  <c r="D2415" i="1"/>
  <c r="E2415" i="1"/>
  <c r="F2415" i="1"/>
  <c r="G2415" i="1"/>
  <c r="A2415" i="1"/>
  <c r="B2415" i="1"/>
  <c r="H2415" i="1"/>
  <c r="I2415" i="1"/>
  <c r="D2417" i="1"/>
  <c r="E2417" i="1"/>
  <c r="F2417" i="1"/>
  <c r="G2417" i="1"/>
  <c r="A2417" i="1"/>
  <c r="B2417" i="1"/>
  <c r="H2417" i="1"/>
  <c r="I2417" i="1"/>
  <c r="D2381" i="1"/>
  <c r="E2381" i="1"/>
  <c r="F2381" i="1"/>
  <c r="G2381" i="1"/>
  <c r="A2381" i="1"/>
  <c r="B2381" i="1"/>
  <c r="H2381" i="1"/>
  <c r="I2381" i="1"/>
  <c r="D3305" i="1"/>
  <c r="E3305" i="1"/>
  <c r="F3305" i="1"/>
  <c r="G3305" i="1"/>
  <c r="A3305" i="1"/>
  <c r="B3305" i="1"/>
  <c r="H3305" i="1"/>
  <c r="I3305" i="1"/>
  <c r="D3277" i="1"/>
  <c r="E3277" i="1"/>
  <c r="F3277" i="1"/>
  <c r="G3277" i="1"/>
  <c r="A3277" i="1"/>
  <c r="B3277" i="1"/>
  <c r="H3277" i="1"/>
  <c r="I3277" i="1"/>
  <c r="D3278" i="1"/>
  <c r="E3278" i="1"/>
  <c r="F3278" i="1"/>
  <c r="G3278" i="1"/>
  <c r="A3278" i="1"/>
  <c r="B3278" i="1"/>
  <c r="H3278" i="1"/>
  <c r="I3278" i="1"/>
  <c r="D3304" i="1"/>
  <c r="E3304" i="1"/>
  <c r="F3304" i="1"/>
  <c r="G3304" i="1"/>
  <c r="A3304" i="1"/>
  <c r="B3304" i="1"/>
  <c r="H3304" i="1"/>
  <c r="I3304" i="1"/>
  <c r="D2475" i="1"/>
  <c r="E2475" i="1"/>
  <c r="F2475" i="1"/>
  <c r="G2475" i="1"/>
  <c r="A2475" i="1"/>
  <c r="B2475" i="1"/>
  <c r="H2475" i="1"/>
  <c r="I2475" i="1"/>
  <c r="D477" i="1"/>
  <c r="E477" i="1"/>
  <c r="F477" i="1"/>
  <c r="G477" i="1"/>
  <c r="A477" i="1"/>
  <c r="B477" i="1"/>
  <c r="H477" i="1"/>
  <c r="I477" i="1"/>
  <c r="D1224" i="1"/>
  <c r="E1224" i="1"/>
  <c r="F1224" i="1"/>
  <c r="G1224" i="1"/>
  <c r="A1224" i="1"/>
  <c r="B1224" i="1"/>
  <c r="H1224" i="1"/>
  <c r="I1224" i="1"/>
  <c r="D3136" i="1"/>
  <c r="E3136" i="1"/>
  <c r="F3136" i="1"/>
  <c r="G3136" i="1"/>
  <c r="A3136" i="1"/>
  <c r="B3136" i="1"/>
  <c r="H3136" i="1"/>
  <c r="I3136" i="1"/>
  <c r="D1085" i="1"/>
  <c r="E1085" i="1"/>
  <c r="F1085" i="1"/>
  <c r="G1085" i="1"/>
  <c r="A1085" i="1"/>
  <c r="B1085" i="1"/>
  <c r="H1085" i="1"/>
  <c r="I1085" i="1"/>
  <c r="D2385" i="1"/>
  <c r="E2385" i="1"/>
  <c r="F2385" i="1"/>
  <c r="G2385" i="1"/>
  <c r="A2385" i="1"/>
  <c r="B2385" i="1"/>
  <c r="H2385" i="1"/>
  <c r="I2385" i="1"/>
  <c r="D2378" i="1"/>
  <c r="E2378" i="1"/>
  <c r="F2378" i="1"/>
  <c r="G2378" i="1"/>
  <c r="A2378" i="1"/>
  <c r="B2378" i="1"/>
  <c r="H2378" i="1"/>
  <c r="I2378" i="1"/>
  <c r="D2379" i="1"/>
  <c r="E2379" i="1"/>
  <c r="F2379" i="1"/>
  <c r="G2379" i="1"/>
  <c r="A2379" i="1"/>
  <c r="B2379" i="1"/>
  <c r="H2379" i="1"/>
  <c r="I2379" i="1"/>
  <c r="D2373" i="1"/>
  <c r="E2373" i="1"/>
  <c r="F2373" i="1"/>
  <c r="G2373" i="1"/>
  <c r="A2373" i="1"/>
  <c r="B2373" i="1"/>
  <c r="H2373" i="1"/>
  <c r="I2373" i="1"/>
  <c r="D2387" i="1"/>
  <c r="E2387" i="1"/>
  <c r="F2387" i="1"/>
  <c r="G2387" i="1"/>
  <c r="A2387" i="1"/>
  <c r="B2387" i="1"/>
  <c r="H2387" i="1"/>
  <c r="I2387" i="1"/>
  <c r="D2384" i="1"/>
  <c r="E2384" i="1"/>
  <c r="F2384" i="1"/>
  <c r="G2384" i="1"/>
  <c r="A2384" i="1"/>
  <c r="B2384" i="1"/>
  <c r="H2384" i="1"/>
  <c r="I2384" i="1"/>
  <c r="D474" i="1"/>
  <c r="E474" i="1"/>
  <c r="F474" i="1"/>
  <c r="G474" i="1"/>
  <c r="A474" i="1"/>
  <c r="B474" i="1"/>
  <c r="H474" i="1"/>
  <c r="I474" i="1"/>
  <c r="D2838" i="1"/>
  <c r="E2838" i="1"/>
  <c r="F2838" i="1"/>
  <c r="G2838" i="1"/>
  <c r="A2838" i="1"/>
  <c r="B2838" i="1"/>
  <c r="H2838" i="1"/>
  <c r="I2838" i="1"/>
  <c r="D2481" i="1"/>
  <c r="E2481" i="1"/>
  <c r="F2481" i="1"/>
  <c r="G2481" i="1"/>
  <c r="A2481" i="1"/>
  <c r="B2481" i="1"/>
  <c r="H2481" i="1"/>
  <c r="I2481" i="1"/>
  <c r="D3023" i="1"/>
  <c r="E3023" i="1"/>
  <c r="F3023" i="1"/>
  <c r="G3023" i="1"/>
  <c r="A3023" i="1"/>
  <c r="B3023" i="1"/>
  <c r="H3023" i="1"/>
  <c r="I3023" i="1"/>
  <c r="D3137" i="1"/>
  <c r="E3137" i="1"/>
  <c r="F3137" i="1"/>
  <c r="G3137" i="1"/>
  <c r="A3137" i="1"/>
  <c r="B3137" i="1"/>
  <c r="H3137" i="1"/>
  <c r="I3137" i="1"/>
  <c r="D1086" i="1"/>
  <c r="E1086" i="1"/>
  <c r="F1086" i="1"/>
  <c r="G1086" i="1"/>
  <c r="A1086" i="1"/>
  <c r="B1086" i="1"/>
  <c r="H1086" i="1"/>
  <c r="I1086" i="1"/>
  <c r="D2474" i="1"/>
  <c r="E2474" i="1"/>
  <c r="F2474" i="1"/>
  <c r="G2474" i="1"/>
  <c r="A2474" i="1"/>
  <c r="B2474" i="1"/>
  <c r="H2474" i="1"/>
  <c r="I2474" i="1"/>
  <c r="D2380" i="1"/>
  <c r="E2380" i="1"/>
  <c r="F2380" i="1"/>
  <c r="G2380" i="1"/>
  <c r="A2380" i="1"/>
  <c r="B2380" i="1"/>
  <c r="H2380" i="1"/>
  <c r="I2380" i="1"/>
  <c r="D476" i="1"/>
  <c r="E476" i="1"/>
  <c r="F476" i="1"/>
  <c r="G476" i="1"/>
  <c r="A476" i="1"/>
  <c r="B476" i="1"/>
  <c r="H476" i="1"/>
  <c r="I476" i="1"/>
  <c r="D2484" i="1"/>
  <c r="E2484" i="1"/>
  <c r="F2484" i="1"/>
  <c r="G2484" i="1"/>
  <c r="A2484" i="1"/>
  <c r="B2484" i="1"/>
  <c r="H2484" i="1"/>
  <c r="I2484" i="1"/>
  <c r="D2689" i="1"/>
  <c r="E2689" i="1"/>
  <c r="F2689" i="1"/>
  <c r="G2689" i="1"/>
  <c r="A2689" i="1"/>
  <c r="B2689" i="1"/>
  <c r="H2689" i="1"/>
  <c r="I2689" i="1"/>
  <c r="D2375" i="1"/>
  <c r="E2375" i="1"/>
  <c r="F2375" i="1"/>
  <c r="G2375" i="1"/>
  <c r="A2375" i="1"/>
  <c r="B2375" i="1"/>
  <c r="H2375" i="1"/>
  <c r="I2375" i="1"/>
  <c r="D1087" i="1"/>
  <c r="E1087" i="1"/>
  <c r="F1087" i="1"/>
  <c r="G1087" i="1"/>
  <c r="A1087" i="1"/>
  <c r="B1087" i="1"/>
  <c r="H1087" i="1"/>
  <c r="I1087" i="1"/>
  <c r="D1222" i="1"/>
  <c r="E1222" i="1"/>
  <c r="F1222" i="1"/>
  <c r="G1222" i="1"/>
  <c r="A1222" i="1"/>
  <c r="B1222" i="1"/>
  <c r="H1222" i="1"/>
  <c r="I1222" i="1"/>
  <c r="D3302" i="1"/>
  <c r="E3302" i="1"/>
  <c r="F3302" i="1"/>
  <c r="G3302" i="1"/>
  <c r="A3302" i="1"/>
  <c r="B3302" i="1"/>
  <c r="H3302" i="1"/>
  <c r="I3302" i="1"/>
  <c r="D3306" i="1"/>
  <c r="E3306" i="1"/>
  <c r="F3306" i="1"/>
  <c r="G3306" i="1"/>
  <c r="A3306" i="1"/>
  <c r="B3306" i="1"/>
  <c r="H3306" i="1"/>
  <c r="I3306" i="1"/>
  <c r="D2483" i="1"/>
  <c r="E2483" i="1"/>
  <c r="F2483" i="1"/>
  <c r="G2483" i="1"/>
  <c r="A2483" i="1"/>
  <c r="B2483" i="1"/>
  <c r="H2483" i="1"/>
  <c r="I2483" i="1"/>
  <c r="D2382" i="1"/>
  <c r="E2382" i="1"/>
  <c r="F2382" i="1"/>
  <c r="G2382" i="1"/>
  <c r="A2382" i="1"/>
  <c r="B2382" i="1"/>
  <c r="H2382" i="1"/>
  <c r="I2382" i="1"/>
  <c r="D2482" i="1"/>
  <c r="E2482" i="1"/>
  <c r="F2482" i="1"/>
  <c r="G2482" i="1"/>
  <c r="A2482" i="1"/>
  <c r="B2482" i="1"/>
  <c r="H2482" i="1"/>
  <c r="I2482" i="1"/>
  <c r="D425" i="1"/>
  <c r="E425" i="1"/>
  <c r="F425" i="1"/>
  <c r="G425" i="1"/>
  <c r="A425" i="1"/>
  <c r="B425" i="1"/>
  <c r="H425" i="1"/>
  <c r="I425" i="1"/>
  <c r="D3303" i="1"/>
  <c r="E3303" i="1"/>
  <c r="F3303" i="1"/>
  <c r="G3303" i="1"/>
  <c r="A3303" i="1"/>
  <c r="B3303" i="1"/>
  <c r="H3303" i="1"/>
  <c r="I3303" i="1"/>
  <c r="D2383" i="1"/>
  <c r="E2383" i="1"/>
  <c r="F2383" i="1"/>
  <c r="G2383" i="1"/>
  <c r="A2383" i="1"/>
  <c r="B2383" i="1"/>
  <c r="H2383" i="1"/>
  <c r="I2383" i="1"/>
  <c r="D479" i="1"/>
  <c r="E479" i="1"/>
  <c r="F479" i="1"/>
  <c r="G479" i="1"/>
  <c r="A479" i="1"/>
  <c r="B479" i="1"/>
  <c r="H479" i="1"/>
  <c r="I479" i="1"/>
  <c r="D2955" i="1"/>
  <c r="E2955" i="1"/>
  <c r="F2955" i="1"/>
  <c r="G2955" i="1"/>
  <c r="A2955" i="1"/>
  <c r="B2955" i="1"/>
  <c r="H2955" i="1"/>
  <c r="I2955" i="1"/>
  <c r="D1223" i="1"/>
  <c r="E1223" i="1"/>
  <c r="F1223" i="1"/>
  <c r="G1223" i="1"/>
  <c r="A1223" i="1"/>
  <c r="B1223" i="1"/>
  <c r="H1223" i="1"/>
  <c r="I1223" i="1"/>
  <c r="D2372" i="1"/>
  <c r="E2372" i="1"/>
  <c r="F2372" i="1"/>
  <c r="G2372" i="1"/>
  <c r="A2372" i="1"/>
  <c r="B2372" i="1"/>
  <c r="H2372" i="1"/>
  <c r="I2372" i="1"/>
  <c r="D2837" i="1"/>
  <c r="E2837" i="1"/>
  <c r="F2837" i="1"/>
  <c r="G2837" i="1"/>
  <c r="A2837" i="1"/>
  <c r="B2837" i="1"/>
  <c r="H2837" i="1"/>
  <c r="I2837" i="1"/>
  <c r="D2376" i="1"/>
  <c r="E2376" i="1"/>
  <c r="F2376" i="1"/>
  <c r="G2376" i="1"/>
  <c r="A2376" i="1"/>
  <c r="B2376" i="1"/>
  <c r="H2376" i="1"/>
  <c r="I2376" i="1"/>
  <c r="D2386" i="1"/>
  <c r="E2386" i="1"/>
  <c r="F2386" i="1"/>
  <c r="G2386" i="1"/>
  <c r="A2386" i="1"/>
  <c r="B2386" i="1"/>
  <c r="H2386" i="1"/>
  <c r="I2386" i="1"/>
  <c r="D475" i="1"/>
  <c r="E475" i="1"/>
  <c r="F475" i="1"/>
  <c r="G475" i="1"/>
  <c r="A475" i="1"/>
  <c r="B475" i="1"/>
  <c r="H475" i="1"/>
  <c r="I475" i="1"/>
  <c r="D2374" i="1"/>
  <c r="E2374" i="1"/>
  <c r="F2374" i="1"/>
  <c r="G2374" i="1"/>
  <c r="A2374" i="1"/>
  <c r="B2374" i="1"/>
  <c r="H2374" i="1"/>
  <c r="I2374" i="1"/>
  <c r="D2377" i="1"/>
  <c r="E2377" i="1"/>
  <c r="F2377" i="1"/>
  <c r="G2377" i="1"/>
  <c r="A2377" i="1"/>
  <c r="B2377" i="1"/>
  <c r="H2377" i="1"/>
  <c r="I2377" i="1"/>
  <c r="D472" i="1"/>
  <c r="E472" i="1"/>
  <c r="F472" i="1"/>
  <c r="G472" i="1"/>
  <c r="A472" i="1"/>
  <c r="B472" i="1"/>
  <c r="H472" i="1"/>
  <c r="I472" i="1"/>
  <c r="D478" i="1"/>
  <c r="E478" i="1"/>
  <c r="F478" i="1"/>
  <c r="G478" i="1"/>
  <c r="A478" i="1"/>
  <c r="B478" i="1"/>
  <c r="H478" i="1"/>
  <c r="I478" i="1"/>
  <c r="D3240" i="1"/>
  <c r="E3240" i="1"/>
  <c r="F3240" i="1"/>
  <c r="G3240" i="1"/>
  <c r="A3240" i="1"/>
  <c r="B3240" i="1"/>
  <c r="H3240" i="1"/>
  <c r="I3240" i="1"/>
  <c r="D473" i="1"/>
  <c r="E473" i="1"/>
  <c r="F473" i="1"/>
  <c r="G473" i="1"/>
  <c r="A473" i="1"/>
  <c r="B473" i="1"/>
  <c r="H473" i="1"/>
  <c r="I473" i="1"/>
  <c r="D2497" i="1"/>
  <c r="E2497" i="1"/>
  <c r="F2497" i="1"/>
  <c r="G2497" i="1"/>
  <c r="A2497" i="1"/>
  <c r="B2497" i="1"/>
  <c r="H2497" i="1"/>
  <c r="I2497" i="1"/>
  <c r="D2492" i="1"/>
  <c r="E2492" i="1"/>
  <c r="F2492" i="1"/>
  <c r="G2492" i="1"/>
  <c r="A2492" i="1"/>
  <c r="B2492" i="1"/>
  <c r="H2492" i="1"/>
  <c r="I2492" i="1"/>
  <c r="D734" i="1"/>
  <c r="E734" i="1"/>
  <c r="F734" i="1"/>
  <c r="G734" i="1"/>
  <c r="A734" i="1"/>
  <c r="B734" i="1"/>
  <c r="H734" i="1"/>
  <c r="I734" i="1"/>
  <c r="D732" i="1"/>
  <c r="E732" i="1"/>
  <c r="F732" i="1"/>
  <c r="G732" i="1"/>
  <c r="A732" i="1"/>
  <c r="B732" i="1"/>
  <c r="H732" i="1"/>
  <c r="I732" i="1"/>
  <c r="D2501" i="1"/>
  <c r="E2501" i="1"/>
  <c r="F2501" i="1"/>
  <c r="G2501" i="1"/>
  <c r="A2501" i="1"/>
  <c r="B2501" i="1"/>
  <c r="H2501" i="1"/>
  <c r="I2501" i="1"/>
  <c r="D2498" i="1"/>
  <c r="E2498" i="1"/>
  <c r="F2498" i="1"/>
  <c r="G2498" i="1"/>
  <c r="A2498" i="1"/>
  <c r="B2498" i="1"/>
  <c r="H2498" i="1"/>
  <c r="I2498" i="1"/>
  <c r="D733" i="1"/>
  <c r="E733" i="1"/>
  <c r="F733" i="1"/>
  <c r="G733" i="1"/>
  <c r="A733" i="1"/>
  <c r="B733" i="1"/>
  <c r="H733" i="1"/>
  <c r="I733" i="1"/>
  <c r="D2491" i="1"/>
  <c r="E2491" i="1"/>
  <c r="F2491" i="1"/>
  <c r="G2491" i="1"/>
  <c r="A2491" i="1"/>
  <c r="B2491" i="1"/>
  <c r="H2491" i="1"/>
  <c r="I2491" i="1"/>
  <c r="D2505" i="1"/>
  <c r="E2505" i="1"/>
  <c r="F2505" i="1"/>
  <c r="G2505" i="1"/>
  <c r="A2505" i="1"/>
  <c r="B2505" i="1"/>
  <c r="H2505" i="1"/>
  <c r="I2505" i="1"/>
  <c r="D2504" i="1"/>
  <c r="E2504" i="1"/>
  <c r="F2504" i="1"/>
  <c r="G2504" i="1"/>
  <c r="A2504" i="1"/>
  <c r="B2504" i="1"/>
  <c r="H2504" i="1"/>
  <c r="I2504" i="1"/>
  <c r="D731" i="1"/>
  <c r="E731" i="1"/>
  <c r="F731" i="1"/>
  <c r="G731" i="1"/>
  <c r="A731" i="1"/>
  <c r="B731" i="1"/>
  <c r="H731" i="1"/>
  <c r="I731" i="1"/>
  <c r="D2768" i="1"/>
  <c r="E2768" i="1"/>
  <c r="F2768" i="1"/>
  <c r="G2768" i="1"/>
  <c r="A2768" i="1"/>
  <c r="B2768" i="1"/>
  <c r="H2768" i="1"/>
  <c r="I2768" i="1"/>
  <c r="D2508" i="1"/>
  <c r="E2508" i="1"/>
  <c r="F2508" i="1"/>
  <c r="G2508" i="1"/>
  <c r="A2508" i="1"/>
  <c r="B2508" i="1"/>
  <c r="H2508" i="1"/>
  <c r="I2508" i="1"/>
  <c r="D2509" i="1"/>
  <c r="E2509" i="1"/>
  <c r="F2509" i="1"/>
  <c r="G2509" i="1"/>
  <c r="A2509" i="1"/>
  <c r="B2509" i="1"/>
  <c r="H2509" i="1"/>
  <c r="I2509" i="1"/>
  <c r="D2510" i="1"/>
  <c r="E2510" i="1"/>
  <c r="F2510" i="1"/>
  <c r="G2510" i="1"/>
  <c r="A2510" i="1"/>
  <c r="B2510" i="1"/>
  <c r="H2510" i="1"/>
  <c r="I2510" i="1"/>
  <c r="D2511" i="1"/>
  <c r="E2511" i="1"/>
  <c r="F2511" i="1"/>
  <c r="G2511" i="1"/>
  <c r="A2511" i="1"/>
  <c r="B2511" i="1"/>
  <c r="H2511" i="1"/>
  <c r="I2511" i="1"/>
  <c r="D3312" i="1"/>
  <c r="E3312" i="1"/>
  <c r="F3312" i="1"/>
  <c r="G3312" i="1"/>
  <c r="A3312" i="1"/>
  <c r="B3312" i="1"/>
  <c r="H3312" i="1"/>
  <c r="I3312" i="1"/>
  <c r="D2500" i="1"/>
  <c r="E2500" i="1"/>
  <c r="F2500" i="1"/>
  <c r="G2500" i="1"/>
  <c r="A2500" i="1"/>
  <c r="B2500" i="1"/>
  <c r="H2500" i="1"/>
  <c r="I2500" i="1"/>
  <c r="D2507" i="1"/>
  <c r="E2507" i="1"/>
  <c r="F2507" i="1"/>
  <c r="G2507" i="1"/>
  <c r="A2507" i="1"/>
  <c r="B2507" i="1"/>
  <c r="H2507" i="1"/>
  <c r="I2507" i="1"/>
  <c r="D2493" i="1"/>
  <c r="E2493" i="1"/>
  <c r="F2493" i="1"/>
  <c r="G2493" i="1"/>
  <c r="A2493" i="1"/>
  <c r="B2493" i="1"/>
  <c r="H2493" i="1"/>
  <c r="I2493" i="1"/>
  <c r="D2495" i="1"/>
  <c r="E2495" i="1"/>
  <c r="F2495" i="1"/>
  <c r="G2495" i="1"/>
  <c r="A2495" i="1"/>
  <c r="B2495" i="1"/>
  <c r="H2495" i="1"/>
  <c r="I2495" i="1"/>
  <c r="D2502" i="1"/>
  <c r="E2502" i="1"/>
  <c r="F2502" i="1"/>
  <c r="G2502" i="1"/>
  <c r="A2502" i="1"/>
  <c r="B2502" i="1"/>
  <c r="H2502" i="1"/>
  <c r="I2502" i="1"/>
  <c r="D2499" i="1"/>
  <c r="E2499" i="1"/>
  <c r="F2499" i="1"/>
  <c r="G2499" i="1"/>
  <c r="A2499" i="1"/>
  <c r="B2499" i="1"/>
  <c r="H2499" i="1"/>
  <c r="I2499" i="1"/>
  <c r="D2769" i="1"/>
  <c r="E2769" i="1"/>
  <c r="F2769" i="1"/>
  <c r="G2769" i="1"/>
  <c r="A2769" i="1"/>
  <c r="B2769" i="1"/>
  <c r="H2769" i="1"/>
  <c r="I2769" i="1"/>
  <c r="D2564" i="1"/>
  <c r="E2564" i="1"/>
  <c r="F2564" i="1"/>
  <c r="G2564" i="1"/>
  <c r="A2564" i="1"/>
  <c r="B2564" i="1"/>
  <c r="H2564" i="1"/>
  <c r="I2564" i="1"/>
  <c r="D2512" i="1"/>
  <c r="E2512" i="1"/>
  <c r="F2512" i="1"/>
  <c r="G2512" i="1"/>
  <c r="A2512" i="1"/>
  <c r="B2512" i="1"/>
  <c r="H2512" i="1"/>
  <c r="I2512" i="1"/>
  <c r="D2513" i="1"/>
  <c r="E2513" i="1"/>
  <c r="F2513" i="1"/>
  <c r="G2513" i="1"/>
  <c r="A2513" i="1"/>
  <c r="B2513" i="1"/>
  <c r="H2513" i="1"/>
  <c r="I2513" i="1"/>
  <c r="D2514" i="1"/>
  <c r="E2514" i="1"/>
  <c r="F2514" i="1"/>
  <c r="G2514" i="1"/>
  <c r="A2514" i="1"/>
  <c r="B2514" i="1"/>
  <c r="H2514" i="1"/>
  <c r="I2514" i="1"/>
  <c r="D2515" i="1"/>
  <c r="E2515" i="1"/>
  <c r="F2515" i="1"/>
  <c r="G2515" i="1"/>
  <c r="A2515" i="1"/>
  <c r="B2515" i="1"/>
  <c r="H2515" i="1"/>
  <c r="I2515" i="1"/>
  <c r="D2503" i="1"/>
  <c r="E2503" i="1"/>
  <c r="F2503" i="1"/>
  <c r="G2503" i="1"/>
  <c r="A2503" i="1"/>
  <c r="B2503" i="1"/>
  <c r="H2503" i="1"/>
  <c r="I2503" i="1"/>
  <c r="D2496" i="1"/>
  <c r="E2496" i="1"/>
  <c r="F2496" i="1"/>
  <c r="G2496" i="1"/>
  <c r="A2496" i="1"/>
  <c r="B2496" i="1"/>
  <c r="H2496" i="1"/>
  <c r="I2496" i="1"/>
  <c r="D2563" i="1"/>
  <c r="E2563" i="1"/>
  <c r="F2563" i="1"/>
  <c r="G2563" i="1"/>
  <c r="A2563" i="1"/>
  <c r="B2563" i="1"/>
  <c r="H2563" i="1"/>
  <c r="I2563" i="1"/>
  <c r="D2494" i="1"/>
  <c r="E2494" i="1"/>
  <c r="F2494" i="1"/>
  <c r="G2494" i="1"/>
  <c r="A2494" i="1"/>
  <c r="B2494" i="1"/>
  <c r="H2494" i="1"/>
  <c r="I2494" i="1"/>
  <c r="D2506" i="1"/>
  <c r="E2506" i="1"/>
  <c r="F2506" i="1"/>
  <c r="G2506" i="1"/>
  <c r="A2506" i="1"/>
  <c r="B2506" i="1"/>
  <c r="H2506" i="1"/>
  <c r="I2506" i="1"/>
  <c r="D730" i="1"/>
  <c r="E730" i="1"/>
  <c r="F730" i="1"/>
  <c r="G730" i="1"/>
  <c r="A730" i="1"/>
  <c r="B730" i="1"/>
  <c r="H730" i="1"/>
  <c r="I730" i="1"/>
  <c r="D2914" i="1"/>
  <c r="E2914" i="1"/>
  <c r="F2914" i="1"/>
  <c r="G2914" i="1"/>
  <c r="A2914" i="1"/>
  <c r="B2914" i="1"/>
  <c r="H2914" i="1"/>
  <c r="I2914" i="1"/>
  <c r="D2923" i="1"/>
  <c r="E2923" i="1"/>
  <c r="F2923" i="1"/>
  <c r="G2923" i="1"/>
  <c r="A2923" i="1"/>
  <c r="B2923" i="1"/>
  <c r="H2923" i="1"/>
  <c r="I2923" i="1"/>
  <c r="D2924" i="1"/>
  <c r="E2924" i="1"/>
  <c r="F2924" i="1"/>
  <c r="G2924" i="1"/>
  <c r="A2924" i="1"/>
  <c r="B2924" i="1"/>
  <c r="H2924" i="1"/>
  <c r="I2924" i="1"/>
  <c r="D2926" i="1"/>
  <c r="E2926" i="1"/>
  <c r="F2926" i="1"/>
  <c r="G2926" i="1"/>
  <c r="A2926" i="1"/>
  <c r="B2926" i="1"/>
  <c r="H2926" i="1"/>
  <c r="I2926" i="1"/>
  <c r="D2927" i="1"/>
  <c r="E2927" i="1"/>
  <c r="F2927" i="1"/>
  <c r="G2927" i="1"/>
  <c r="A2927" i="1"/>
  <c r="B2927" i="1"/>
  <c r="H2927" i="1"/>
  <c r="I2927" i="1"/>
  <c r="D2945" i="1"/>
  <c r="E2945" i="1"/>
  <c r="F2945" i="1"/>
  <c r="G2945" i="1"/>
  <c r="A2945" i="1"/>
  <c r="B2945" i="1"/>
  <c r="H2945" i="1"/>
  <c r="I2945" i="1"/>
  <c r="D2932" i="1"/>
  <c r="E2932" i="1"/>
  <c r="F2932" i="1"/>
  <c r="G2932" i="1"/>
  <c r="A2932" i="1"/>
  <c r="B2932" i="1"/>
  <c r="H2932" i="1"/>
  <c r="I2932" i="1"/>
  <c r="D2947" i="1"/>
  <c r="E2947" i="1"/>
  <c r="F2947" i="1"/>
  <c r="G2947" i="1"/>
  <c r="A2947" i="1"/>
  <c r="B2947" i="1"/>
  <c r="H2947" i="1"/>
  <c r="I2947" i="1"/>
  <c r="D2920" i="1"/>
  <c r="E2920" i="1"/>
  <c r="F2920" i="1"/>
  <c r="G2920" i="1"/>
  <c r="A2920" i="1"/>
  <c r="B2920" i="1"/>
  <c r="H2920" i="1"/>
  <c r="I2920" i="1"/>
  <c r="D1125" i="1"/>
  <c r="E1125" i="1"/>
  <c r="F1125" i="1"/>
  <c r="G1125" i="1"/>
  <c r="A1125" i="1"/>
  <c r="B1125" i="1"/>
  <c r="H1125" i="1"/>
  <c r="I1125" i="1"/>
  <c r="D2921" i="1"/>
  <c r="E2921" i="1"/>
  <c r="F2921" i="1"/>
  <c r="G2921" i="1"/>
  <c r="A2921" i="1"/>
  <c r="B2921" i="1"/>
  <c r="H2921" i="1"/>
  <c r="I2921" i="1"/>
  <c r="D2916" i="1"/>
  <c r="E2916" i="1"/>
  <c r="F2916" i="1"/>
  <c r="G2916" i="1"/>
  <c r="A2916" i="1"/>
  <c r="B2916" i="1"/>
  <c r="H2916" i="1"/>
  <c r="I2916" i="1"/>
  <c r="D1124" i="1"/>
  <c r="E1124" i="1"/>
  <c r="F1124" i="1"/>
  <c r="G1124" i="1"/>
  <c r="A1124" i="1"/>
  <c r="B1124" i="1"/>
  <c r="H1124" i="1"/>
  <c r="I1124" i="1"/>
  <c r="D2933" i="1"/>
  <c r="E2933" i="1"/>
  <c r="F2933" i="1"/>
  <c r="G2933" i="1"/>
  <c r="A2933" i="1"/>
  <c r="B2933" i="1"/>
  <c r="H2933" i="1"/>
  <c r="I2933" i="1"/>
  <c r="D2943" i="1"/>
  <c r="E2943" i="1"/>
  <c r="F2943" i="1"/>
  <c r="G2943" i="1"/>
  <c r="A2943" i="1"/>
  <c r="B2943" i="1"/>
  <c r="H2943" i="1"/>
  <c r="I2943" i="1"/>
  <c r="D227" i="1"/>
  <c r="E227" i="1"/>
  <c r="F227" i="1"/>
  <c r="G227" i="1"/>
  <c r="A227" i="1"/>
  <c r="B227" i="1"/>
  <c r="H227" i="1"/>
  <c r="I227" i="1"/>
  <c r="D2946" i="1"/>
  <c r="E2946" i="1"/>
  <c r="F2946" i="1"/>
  <c r="G2946" i="1"/>
  <c r="A2946" i="1"/>
  <c r="B2946" i="1"/>
  <c r="H2946" i="1"/>
  <c r="I2946" i="1"/>
  <c r="D2931" i="1"/>
  <c r="E2931" i="1"/>
  <c r="F2931" i="1"/>
  <c r="G2931" i="1"/>
  <c r="A2931" i="1"/>
  <c r="B2931" i="1"/>
  <c r="H2931" i="1"/>
  <c r="I2931" i="1"/>
  <c r="D2919" i="1"/>
  <c r="E2919" i="1"/>
  <c r="F2919" i="1"/>
  <c r="G2919" i="1"/>
  <c r="A2919" i="1"/>
  <c r="B2919" i="1"/>
  <c r="H2919" i="1"/>
  <c r="I2919" i="1"/>
  <c r="D3559" i="1"/>
  <c r="E3559" i="1"/>
  <c r="F3559" i="1"/>
  <c r="G3559" i="1"/>
  <c r="A3559" i="1"/>
  <c r="B3559" i="1"/>
  <c r="H3559" i="1"/>
  <c r="I3559" i="1"/>
  <c r="D2930" i="1"/>
  <c r="E2930" i="1"/>
  <c r="F2930" i="1"/>
  <c r="G2930" i="1"/>
  <c r="A2930" i="1"/>
  <c r="B2930" i="1"/>
  <c r="H2930" i="1"/>
  <c r="I2930" i="1"/>
  <c r="D1121" i="1"/>
  <c r="E1121" i="1"/>
  <c r="F1121" i="1"/>
  <c r="G1121" i="1"/>
  <c r="A1121" i="1"/>
  <c r="B1121" i="1"/>
  <c r="H1121" i="1"/>
  <c r="I1121" i="1"/>
  <c r="D2940" i="1"/>
  <c r="E2940" i="1"/>
  <c r="F2940" i="1"/>
  <c r="G2940" i="1"/>
  <c r="A2940" i="1"/>
  <c r="B2940" i="1"/>
  <c r="H2940" i="1"/>
  <c r="I2940" i="1"/>
  <c r="D2941" i="1"/>
  <c r="E2941" i="1"/>
  <c r="F2941" i="1"/>
  <c r="G2941" i="1"/>
  <c r="A2941" i="1"/>
  <c r="B2941" i="1"/>
  <c r="H2941" i="1"/>
  <c r="I2941" i="1"/>
  <c r="D2944" i="1"/>
  <c r="E2944" i="1"/>
  <c r="F2944" i="1"/>
  <c r="G2944" i="1"/>
  <c r="A2944" i="1"/>
  <c r="B2944" i="1"/>
  <c r="H2944" i="1"/>
  <c r="I2944" i="1"/>
  <c r="D2617" i="1"/>
  <c r="E2617" i="1"/>
  <c r="F2617" i="1"/>
  <c r="G2617" i="1"/>
  <c r="A2617" i="1"/>
  <c r="B2617" i="1"/>
  <c r="H2617" i="1"/>
  <c r="I2617" i="1"/>
  <c r="D3558" i="1"/>
  <c r="E3558" i="1"/>
  <c r="F3558" i="1"/>
  <c r="G3558" i="1"/>
  <c r="A3558" i="1"/>
  <c r="B3558" i="1"/>
  <c r="H3558" i="1"/>
  <c r="I3558" i="1"/>
  <c r="D2917" i="1"/>
  <c r="E2917" i="1"/>
  <c r="F2917" i="1"/>
  <c r="G2917" i="1"/>
  <c r="A2917" i="1"/>
  <c r="B2917" i="1"/>
  <c r="H2917" i="1"/>
  <c r="I2917" i="1"/>
  <c r="D3333" i="1"/>
  <c r="E3333" i="1"/>
  <c r="F3333" i="1"/>
  <c r="G3333" i="1"/>
  <c r="A3333" i="1"/>
  <c r="B3333" i="1"/>
  <c r="H3333" i="1"/>
  <c r="I3333" i="1"/>
  <c r="D3319" i="1"/>
  <c r="E3319" i="1"/>
  <c r="F3319" i="1"/>
  <c r="G3319" i="1"/>
  <c r="A3319" i="1"/>
  <c r="B3319" i="1"/>
  <c r="H3319" i="1"/>
  <c r="I3319" i="1"/>
  <c r="D3100" i="1"/>
  <c r="E3100" i="1"/>
  <c r="F3100" i="1"/>
  <c r="G3100" i="1"/>
  <c r="A3100" i="1"/>
  <c r="B3100" i="1"/>
  <c r="H3100" i="1"/>
  <c r="I3100" i="1"/>
  <c r="D2934" i="1"/>
  <c r="E2934" i="1"/>
  <c r="F2934" i="1"/>
  <c r="G2934" i="1"/>
  <c r="A2934" i="1"/>
  <c r="B2934" i="1"/>
  <c r="H2934" i="1"/>
  <c r="I2934" i="1"/>
  <c r="D2928" i="1"/>
  <c r="E2928" i="1"/>
  <c r="F2928" i="1"/>
  <c r="G2928" i="1"/>
  <c r="A2928" i="1"/>
  <c r="B2928" i="1"/>
  <c r="H2928" i="1"/>
  <c r="I2928" i="1"/>
  <c r="D2922" i="1"/>
  <c r="E2922" i="1"/>
  <c r="F2922" i="1"/>
  <c r="G2922" i="1"/>
  <c r="A2922" i="1"/>
  <c r="B2922" i="1"/>
  <c r="H2922" i="1"/>
  <c r="I2922" i="1"/>
  <c r="D2942" i="1"/>
  <c r="E2942" i="1"/>
  <c r="F2942" i="1"/>
  <c r="G2942" i="1"/>
  <c r="A2942" i="1"/>
  <c r="B2942" i="1"/>
  <c r="H2942" i="1"/>
  <c r="I2942" i="1"/>
  <c r="D2929" i="1"/>
  <c r="E2929" i="1"/>
  <c r="F2929" i="1"/>
  <c r="G2929" i="1"/>
  <c r="A2929" i="1"/>
  <c r="B2929" i="1"/>
  <c r="H2929" i="1"/>
  <c r="I2929" i="1"/>
  <c r="D2939" i="1"/>
  <c r="E2939" i="1"/>
  <c r="F2939" i="1"/>
  <c r="G2939" i="1"/>
  <c r="A2939" i="1"/>
  <c r="B2939" i="1"/>
  <c r="H2939" i="1"/>
  <c r="I2939" i="1"/>
  <c r="D1122" i="1"/>
  <c r="E1122" i="1"/>
  <c r="F1122" i="1"/>
  <c r="G1122" i="1"/>
  <c r="A1122" i="1"/>
  <c r="B1122" i="1"/>
  <c r="H1122" i="1"/>
  <c r="I1122" i="1"/>
  <c r="D1123" i="1"/>
  <c r="E1123" i="1"/>
  <c r="F1123" i="1"/>
  <c r="G1123" i="1"/>
  <c r="A1123" i="1"/>
  <c r="B1123" i="1"/>
  <c r="H1123" i="1"/>
  <c r="I1123" i="1"/>
  <c r="D226" i="1"/>
  <c r="E226" i="1"/>
  <c r="F226" i="1"/>
  <c r="G226" i="1"/>
  <c r="A226" i="1"/>
  <c r="B226" i="1"/>
  <c r="H226" i="1"/>
  <c r="I226" i="1"/>
  <c r="D2915" i="1"/>
  <c r="E2915" i="1"/>
  <c r="F2915" i="1"/>
  <c r="G2915" i="1"/>
  <c r="A2915" i="1"/>
  <c r="B2915" i="1"/>
  <c r="H2915" i="1"/>
  <c r="I2915" i="1"/>
  <c r="D2936" i="1"/>
  <c r="E2936" i="1"/>
  <c r="F2936" i="1"/>
  <c r="G2936" i="1"/>
  <c r="A2936" i="1"/>
  <c r="B2936" i="1"/>
  <c r="H2936" i="1"/>
  <c r="I2936" i="1"/>
  <c r="D2937" i="1"/>
  <c r="E2937" i="1"/>
  <c r="F2937" i="1"/>
  <c r="G2937" i="1"/>
  <c r="A2937" i="1"/>
  <c r="B2937" i="1"/>
  <c r="H2937" i="1"/>
  <c r="I2937" i="1"/>
  <c r="D2918" i="1"/>
  <c r="E2918" i="1"/>
  <c r="F2918" i="1"/>
  <c r="G2918" i="1"/>
  <c r="A2918" i="1"/>
  <c r="B2918" i="1"/>
  <c r="H2918" i="1"/>
  <c r="I2918" i="1"/>
  <c r="D2925" i="1"/>
  <c r="E2925" i="1"/>
  <c r="F2925" i="1"/>
  <c r="G2925" i="1"/>
  <c r="A2925" i="1"/>
  <c r="B2925" i="1"/>
  <c r="H2925" i="1"/>
  <c r="I2925" i="1"/>
  <c r="D2938" i="1"/>
  <c r="E2938" i="1"/>
  <c r="F2938" i="1"/>
  <c r="G2938" i="1"/>
  <c r="A2938" i="1"/>
  <c r="B2938" i="1"/>
  <c r="H2938" i="1"/>
  <c r="I2938" i="1"/>
  <c r="D2935" i="1"/>
  <c r="E2935" i="1"/>
  <c r="F2935" i="1"/>
  <c r="G2935" i="1"/>
  <c r="A2935" i="1"/>
  <c r="B2935" i="1"/>
  <c r="H2935" i="1"/>
  <c r="I2935" i="1"/>
  <c r="D1264" i="1"/>
  <c r="E1264" i="1"/>
  <c r="F1264" i="1"/>
  <c r="G1264" i="1"/>
  <c r="A1264" i="1"/>
  <c r="B1264" i="1"/>
  <c r="H1264" i="1"/>
  <c r="I1264" i="1"/>
  <c r="D3393" i="1"/>
  <c r="E3393" i="1"/>
  <c r="F3393" i="1"/>
  <c r="G3393" i="1"/>
  <c r="A3393" i="1"/>
  <c r="B3393" i="1"/>
  <c r="H3393" i="1"/>
  <c r="I3393" i="1"/>
  <c r="D3390" i="1"/>
  <c r="E3390" i="1"/>
  <c r="F3390" i="1"/>
  <c r="G3390" i="1"/>
  <c r="A3390" i="1"/>
  <c r="B3390" i="1"/>
  <c r="H3390" i="1"/>
  <c r="I3390" i="1"/>
  <c r="D1263" i="1"/>
  <c r="E1263" i="1"/>
  <c r="F1263" i="1"/>
  <c r="G1263" i="1"/>
  <c r="A1263" i="1"/>
  <c r="B1263" i="1"/>
  <c r="H1263" i="1"/>
  <c r="I1263" i="1"/>
  <c r="D3391" i="1"/>
  <c r="E3391" i="1"/>
  <c r="F3391" i="1"/>
  <c r="G3391" i="1"/>
  <c r="A3391" i="1"/>
  <c r="B3391" i="1"/>
  <c r="H3391" i="1"/>
  <c r="I3391" i="1"/>
  <c r="D3394" i="1"/>
  <c r="E3394" i="1"/>
  <c r="F3394" i="1"/>
  <c r="G3394" i="1"/>
  <c r="A3394" i="1"/>
  <c r="B3394" i="1"/>
  <c r="H3394" i="1"/>
  <c r="I3394" i="1"/>
  <c r="D3392" i="1"/>
  <c r="E3392" i="1"/>
  <c r="F3392" i="1"/>
  <c r="G3392" i="1"/>
  <c r="A3392" i="1"/>
  <c r="B3392" i="1"/>
  <c r="H3392" i="1"/>
  <c r="I3392" i="1"/>
</calcChain>
</file>

<file path=xl/sharedStrings.xml><?xml version="1.0" encoding="utf-8"?>
<sst xmlns="http://schemas.openxmlformats.org/spreadsheetml/2006/main" count="3573" uniqueCount="3436">
  <si>
    <t>Invoice Project ID</t>
  </si>
  <si>
    <t>39510000705</t>
  </si>
  <si>
    <t>39565270301</t>
  </si>
  <si>
    <t>39529843771</t>
  </si>
  <si>
    <t>39510090350</t>
  </si>
  <si>
    <t>39510090138</t>
  </si>
  <si>
    <t>39559910716</t>
  </si>
  <si>
    <t>39539960022</t>
  </si>
  <si>
    <t>39539960021</t>
  </si>
  <si>
    <t>39510090136</t>
  </si>
  <si>
    <t>39510092215</t>
  </si>
  <si>
    <t>39510092208</t>
  </si>
  <si>
    <t>39548220502</t>
  </si>
  <si>
    <t>39510092206</t>
  </si>
  <si>
    <t>39510092211</t>
  </si>
  <si>
    <t>39521900671</t>
  </si>
  <si>
    <t>39572690072</t>
  </si>
  <si>
    <t>39536350073</t>
  </si>
  <si>
    <t>39515200151</t>
  </si>
  <si>
    <t>39548090650</t>
  </si>
  <si>
    <t>39537380274</t>
  </si>
  <si>
    <t>39549982800</t>
  </si>
  <si>
    <t>39545801050</t>
  </si>
  <si>
    <t>39545161071</t>
  </si>
  <si>
    <t>39521601970</t>
  </si>
  <si>
    <t>39527740170</t>
  </si>
  <si>
    <t>39557100072</t>
  </si>
  <si>
    <t>39558650264</t>
  </si>
  <si>
    <t>39561450182</t>
  </si>
  <si>
    <t>39549871371</t>
  </si>
  <si>
    <t>39529844590</t>
  </si>
  <si>
    <t>39552200474</t>
  </si>
  <si>
    <t>39558450178</t>
  </si>
  <si>
    <t>39551200270</t>
  </si>
  <si>
    <t>39575750770</t>
  </si>
  <si>
    <t>39555710072</t>
  </si>
  <si>
    <t>39558450176</t>
  </si>
  <si>
    <t>39529844890</t>
  </si>
  <si>
    <t>39569960528</t>
  </si>
  <si>
    <t>39559921031</t>
  </si>
  <si>
    <t>39529670092</t>
  </si>
  <si>
    <t>39513101074</t>
  </si>
  <si>
    <t>39557300064</t>
  </si>
  <si>
    <t>39513101071</t>
  </si>
  <si>
    <t>39513101070</t>
  </si>
  <si>
    <t>39512282270</t>
  </si>
  <si>
    <t>39540700070</t>
  </si>
  <si>
    <t>39513100470</t>
  </si>
  <si>
    <t>39559921041</t>
  </si>
  <si>
    <t>39514404071</t>
  </si>
  <si>
    <t>39535850070</t>
  </si>
  <si>
    <t>39575750703</t>
  </si>
  <si>
    <t>39516500771</t>
  </si>
  <si>
    <t>39535000076</t>
  </si>
  <si>
    <t>39590680001</t>
  </si>
  <si>
    <t>39559580072</t>
  </si>
  <si>
    <t>39557670073</t>
  </si>
  <si>
    <t>39556710077</t>
  </si>
  <si>
    <t>39557960073</t>
  </si>
  <si>
    <t>39550900070</t>
  </si>
  <si>
    <t>39535840070</t>
  </si>
  <si>
    <t>39539070070</t>
  </si>
  <si>
    <t>39555030070</t>
  </si>
  <si>
    <t>39551650073</t>
  </si>
  <si>
    <t>39556880076</t>
  </si>
  <si>
    <t>39556910079</t>
  </si>
  <si>
    <t>39553460071</t>
  </si>
  <si>
    <t>39554360077</t>
  </si>
  <si>
    <t>39553780074</t>
  </si>
  <si>
    <t>39556250075</t>
  </si>
  <si>
    <t>39553250073</t>
  </si>
  <si>
    <t>39559780075</t>
  </si>
  <si>
    <t>39556050074</t>
  </si>
  <si>
    <t>39572720072</t>
  </si>
  <si>
    <t>39536180074</t>
  </si>
  <si>
    <t>39553770070</t>
  </si>
  <si>
    <t>39556460077</t>
  </si>
  <si>
    <t>39538180070</t>
  </si>
  <si>
    <t>39538180000</t>
  </si>
  <si>
    <t>39538040074</t>
  </si>
  <si>
    <t>39538040004</t>
  </si>
  <si>
    <t>39562170077</t>
  </si>
  <si>
    <t>39562170078</t>
  </si>
  <si>
    <t>39562170079</t>
  </si>
  <si>
    <t>39557860070</t>
  </si>
  <si>
    <t>39536360072</t>
  </si>
  <si>
    <t>39559210074</t>
  </si>
  <si>
    <t>39553780073</t>
  </si>
  <si>
    <t>39536780070</t>
  </si>
  <si>
    <t>39556460076</t>
  </si>
  <si>
    <t>39558440074</t>
  </si>
  <si>
    <t>39556950073</t>
  </si>
  <si>
    <t>39556810073</t>
  </si>
  <si>
    <t>39552950070</t>
  </si>
  <si>
    <t>39556950074</t>
  </si>
  <si>
    <t>39554150071</t>
  </si>
  <si>
    <t>39570160005</t>
  </si>
  <si>
    <t>39550870070</t>
  </si>
  <si>
    <t>39558550073</t>
  </si>
  <si>
    <t>39559620070</t>
  </si>
  <si>
    <t>39557210075</t>
  </si>
  <si>
    <t>39536220078</t>
  </si>
  <si>
    <t>39536720070</t>
  </si>
  <si>
    <t>39536860070</t>
  </si>
  <si>
    <t>39536790073</t>
  </si>
  <si>
    <t>39536770077</t>
  </si>
  <si>
    <t>39559940170</t>
  </si>
  <si>
    <t>39559630072</t>
  </si>
  <si>
    <t>39558270071</t>
  </si>
  <si>
    <t>39551260074</t>
  </si>
  <si>
    <t>39557170070</t>
  </si>
  <si>
    <t>39573450070</t>
  </si>
  <si>
    <t>39557580073</t>
  </si>
  <si>
    <t>39536820070</t>
  </si>
  <si>
    <t>39571020070</t>
  </si>
  <si>
    <t>39559921123</t>
  </si>
  <si>
    <t>39559921122</t>
  </si>
  <si>
    <t>39558480071</t>
  </si>
  <si>
    <t>39558890073</t>
  </si>
  <si>
    <t>39559921004</t>
  </si>
  <si>
    <t>39556820075</t>
  </si>
  <si>
    <t>39558530073</t>
  </si>
  <si>
    <t>39559930177</t>
  </si>
  <si>
    <t>39555270070</t>
  </si>
  <si>
    <t>39551650072</t>
  </si>
  <si>
    <t>39557880075</t>
  </si>
  <si>
    <t>39559900034</t>
  </si>
  <si>
    <t>39554050070</t>
  </si>
  <si>
    <t>39536720072</t>
  </si>
  <si>
    <t>39559760074</t>
  </si>
  <si>
    <t>39556780074</t>
  </si>
  <si>
    <t>39556180073</t>
  </si>
  <si>
    <t>39553270072</t>
  </si>
  <si>
    <t>39554780072</t>
  </si>
  <si>
    <t>39536650070</t>
  </si>
  <si>
    <t>39536140078</t>
  </si>
  <si>
    <t>39558890074</t>
  </si>
  <si>
    <t>39558890075</t>
  </si>
  <si>
    <t>39550570072</t>
  </si>
  <si>
    <t>39553170072</t>
  </si>
  <si>
    <t>39556880075</t>
  </si>
  <si>
    <t>39567210071</t>
  </si>
  <si>
    <t>39556870072</t>
  </si>
  <si>
    <t>39557280073</t>
  </si>
  <si>
    <t>39549871271</t>
  </si>
  <si>
    <t>39548160073</t>
  </si>
  <si>
    <t>39548100271</t>
  </si>
  <si>
    <t>39512101871</t>
  </si>
  <si>
    <t>39540102671</t>
  </si>
  <si>
    <t>39544720571</t>
  </si>
  <si>
    <t>39549861271</t>
  </si>
  <si>
    <t>39548120001</t>
  </si>
  <si>
    <t>39544940771</t>
  </si>
  <si>
    <t>39549840179</t>
  </si>
  <si>
    <t>39542041070</t>
  </si>
  <si>
    <t>39564450001</t>
  </si>
  <si>
    <t>39544780270</t>
  </si>
  <si>
    <t>39548140471</t>
  </si>
  <si>
    <t>39592490470</t>
  </si>
  <si>
    <t>39549870278</t>
  </si>
  <si>
    <t>39545380273</t>
  </si>
  <si>
    <t>39548400071</t>
  </si>
  <si>
    <t>39561870671</t>
  </si>
  <si>
    <t>39538220271</t>
  </si>
  <si>
    <t>39548400171</t>
  </si>
  <si>
    <t>39548160071</t>
  </si>
  <si>
    <t>39549860057</t>
  </si>
  <si>
    <t>39548110072</t>
  </si>
  <si>
    <t>39543120971</t>
  </si>
  <si>
    <t>39540080270</t>
  </si>
  <si>
    <t>39592360373</t>
  </si>
  <si>
    <t>39590260001</t>
  </si>
  <si>
    <t>39542730071</t>
  </si>
  <si>
    <t>39564460170</t>
  </si>
  <si>
    <t>39565080071</t>
  </si>
  <si>
    <t>39535750273</t>
  </si>
  <si>
    <t>39562403171</t>
  </si>
  <si>
    <t>39545070370</t>
  </si>
  <si>
    <t>39546560970</t>
  </si>
  <si>
    <t>39549871471</t>
  </si>
  <si>
    <t>39541600671</t>
  </si>
  <si>
    <t>39549890250</t>
  </si>
  <si>
    <t>39549870111</t>
  </si>
  <si>
    <t>39592590070</t>
  </si>
  <si>
    <t>39592691170</t>
  </si>
  <si>
    <t>39592691270</t>
  </si>
  <si>
    <t>39559900242</t>
  </si>
  <si>
    <t>39558520076</t>
  </si>
  <si>
    <t>39569920021</t>
  </si>
  <si>
    <t>39539960031</t>
  </si>
  <si>
    <t>39557980170</t>
  </si>
  <si>
    <t>39559950471</t>
  </si>
  <si>
    <t>39556500072</t>
  </si>
  <si>
    <t>39559921162</t>
  </si>
  <si>
    <t>39556520071</t>
  </si>
  <si>
    <t>39569950020</t>
  </si>
  <si>
    <t>39559910811</t>
  </si>
  <si>
    <t>39553390073</t>
  </si>
  <si>
    <t>39553160071</t>
  </si>
  <si>
    <t>39559921032</t>
  </si>
  <si>
    <t>39559921137</t>
  </si>
  <si>
    <t>39563380072</t>
  </si>
  <si>
    <t>39555150071</t>
  </si>
  <si>
    <t>39557160075</t>
  </si>
  <si>
    <t>39559921020</t>
  </si>
  <si>
    <t>39539970078</t>
  </si>
  <si>
    <t>39559910271</t>
  </si>
  <si>
    <t>39536250005</t>
  </si>
  <si>
    <t>39559890311</t>
  </si>
  <si>
    <t>39561000860</t>
  </si>
  <si>
    <t>39515004960</t>
  </si>
  <si>
    <t>39559910744</t>
  </si>
  <si>
    <t>39559910738</t>
  </si>
  <si>
    <t>39569950014</t>
  </si>
  <si>
    <t>39536580070</t>
  </si>
  <si>
    <t>39558290072</t>
  </si>
  <si>
    <t>39592580573</t>
  </si>
  <si>
    <t>39558090074</t>
  </si>
  <si>
    <t>39544820001</t>
  </si>
  <si>
    <t>39563160070</t>
  </si>
  <si>
    <t>39559890031</t>
  </si>
  <si>
    <t>39557550011</t>
  </si>
  <si>
    <t>39570670071</t>
  </si>
  <si>
    <t>39562180074</t>
  </si>
  <si>
    <t>39559100072</t>
  </si>
  <si>
    <t>39556090070</t>
  </si>
  <si>
    <t>39559970041</t>
  </si>
  <si>
    <t>39573730070</t>
  </si>
  <si>
    <t>39557980011</t>
  </si>
  <si>
    <t>39573730071</t>
  </si>
  <si>
    <t>39573730074</t>
  </si>
  <si>
    <t>39571170071</t>
  </si>
  <si>
    <t>39552080073</t>
  </si>
  <si>
    <t>39559910778</t>
  </si>
  <si>
    <t>39559900142</t>
  </si>
  <si>
    <t>39559900141</t>
  </si>
  <si>
    <t>39554190673</t>
  </si>
  <si>
    <t>39559910761</t>
  </si>
  <si>
    <t>39569950474</t>
  </si>
  <si>
    <t>39558490202</t>
  </si>
  <si>
    <t>39559920982</t>
  </si>
  <si>
    <t>39554190670</t>
  </si>
  <si>
    <t>39559921016</t>
  </si>
  <si>
    <t>39559921017</t>
  </si>
  <si>
    <t>39556850005</t>
  </si>
  <si>
    <t>39553190070</t>
  </si>
  <si>
    <t>39557250070</t>
  </si>
  <si>
    <t>39569940072</t>
  </si>
  <si>
    <t>39559921128</t>
  </si>
  <si>
    <t>39559921121</t>
  </si>
  <si>
    <t>39559960172</t>
  </si>
  <si>
    <t>39539970013</t>
  </si>
  <si>
    <t>39559980001</t>
  </si>
  <si>
    <t>39556270071</t>
  </si>
  <si>
    <t>39559920926</t>
  </si>
  <si>
    <t>39557090070</t>
  </si>
  <si>
    <t>39559750070</t>
  </si>
  <si>
    <t>39559540001</t>
  </si>
  <si>
    <t>39553050071</t>
  </si>
  <si>
    <t>39559921074</t>
  </si>
  <si>
    <t>39559900241</t>
  </si>
  <si>
    <t>39559921131</t>
  </si>
  <si>
    <t>39555370071</t>
  </si>
  <si>
    <t>39539960035</t>
  </si>
  <si>
    <t>39559210076</t>
  </si>
  <si>
    <t>39559921101</t>
  </si>
  <si>
    <t>39550160071</t>
  </si>
  <si>
    <t>39539970179</t>
  </si>
  <si>
    <t>39545161173</t>
  </si>
  <si>
    <t>39549860065</t>
  </si>
  <si>
    <t>39543070271</t>
  </si>
  <si>
    <t>39549842475</t>
  </si>
  <si>
    <t>39546760471</t>
  </si>
  <si>
    <t>39542320071</t>
  </si>
  <si>
    <t>39548310571</t>
  </si>
  <si>
    <t>39546790271</t>
  </si>
  <si>
    <t>39549910677</t>
  </si>
  <si>
    <t>39545161275</t>
  </si>
  <si>
    <t>39549970573</t>
  </si>
  <si>
    <t>39565171671</t>
  </si>
  <si>
    <t>39599950573</t>
  </si>
  <si>
    <t>39549870275</t>
  </si>
  <si>
    <t>39592770171</t>
  </si>
  <si>
    <t>39592770373</t>
  </si>
  <si>
    <t>39565080171</t>
  </si>
  <si>
    <t>39549930101</t>
  </si>
  <si>
    <t>39549920060</t>
  </si>
  <si>
    <t>39542910370</t>
  </si>
  <si>
    <t>39548310673</t>
  </si>
  <si>
    <t>39511306576</t>
  </si>
  <si>
    <t>39511306786</t>
  </si>
  <si>
    <t>39511306776</t>
  </si>
  <si>
    <t>39510051077</t>
  </si>
  <si>
    <t>39562302071</t>
  </si>
  <si>
    <t>39559910022</t>
  </si>
  <si>
    <t>39538110070</t>
  </si>
  <si>
    <t>39512271273</t>
  </si>
  <si>
    <t>39541501471</t>
  </si>
  <si>
    <t>39562402971</t>
  </si>
  <si>
    <t>39545403671</t>
  </si>
  <si>
    <t>39560901471</t>
  </si>
  <si>
    <t>39562403071</t>
  </si>
  <si>
    <t>39540754071</t>
  </si>
  <si>
    <t>39545890172</t>
  </si>
  <si>
    <t>39545403571</t>
  </si>
  <si>
    <t>39561803171</t>
  </si>
  <si>
    <t>39565130371</t>
  </si>
  <si>
    <t>39514501871</t>
  </si>
  <si>
    <t>39540102171</t>
  </si>
  <si>
    <t>39540856671</t>
  </si>
  <si>
    <t>39562301671</t>
  </si>
  <si>
    <t>39559921133</t>
  </si>
  <si>
    <t>39559921033</t>
  </si>
  <si>
    <t>39557700076</t>
  </si>
  <si>
    <t>39516400073</t>
  </si>
  <si>
    <t>39559920987</t>
  </si>
  <si>
    <t>39559920988</t>
  </si>
  <si>
    <t>39559920986</t>
  </si>
  <si>
    <t>39556850006</t>
  </si>
  <si>
    <t>39558490203</t>
  </si>
  <si>
    <t>39559921075</t>
  </si>
  <si>
    <t>39559921132</t>
  </si>
  <si>
    <t>39559920927</t>
  </si>
  <si>
    <t>39510051083</t>
  </si>
  <si>
    <t>39559921102</t>
  </si>
  <si>
    <t>39557990065</t>
  </si>
  <si>
    <t>39520251171</t>
  </si>
  <si>
    <t>39557100073</t>
  </si>
  <si>
    <t>39558451690</t>
  </si>
  <si>
    <t>39550300174</t>
  </si>
  <si>
    <t>39533640263</t>
  </si>
  <si>
    <t>39530600074</t>
  </si>
  <si>
    <t>39535760175</t>
  </si>
  <si>
    <t>39555700173</t>
  </si>
  <si>
    <t>39559390072</t>
  </si>
  <si>
    <t>39550300173</t>
  </si>
  <si>
    <t>39557520072</t>
  </si>
  <si>
    <t>39555900571</t>
  </si>
  <si>
    <t>39514000174</t>
  </si>
  <si>
    <t>39559440474</t>
  </si>
  <si>
    <t>39556400470</t>
  </si>
  <si>
    <t>39550800274</t>
  </si>
  <si>
    <t>39559390070</t>
  </si>
  <si>
    <t>39550300172</t>
  </si>
  <si>
    <t>39530300574</t>
  </si>
  <si>
    <t>39557600072</t>
  </si>
  <si>
    <t>39552550173</t>
  </si>
  <si>
    <t>39549950302</t>
  </si>
  <si>
    <t>39558451687</t>
  </si>
  <si>
    <t>39550800973</t>
  </si>
  <si>
    <t>39553500270</t>
  </si>
  <si>
    <t>39550900571</t>
  </si>
  <si>
    <t>39550900560</t>
  </si>
  <si>
    <t>39552700170</t>
  </si>
  <si>
    <t>39551100670</t>
  </si>
  <si>
    <t>39546852960</t>
  </si>
  <si>
    <t>39558451689</t>
  </si>
  <si>
    <t>39553500271</t>
  </si>
  <si>
    <t>39558451678</t>
  </si>
  <si>
    <t>39536700172</t>
  </si>
  <si>
    <t>39552450275</t>
  </si>
  <si>
    <t>39560850278</t>
  </si>
  <si>
    <t>39557900272</t>
  </si>
  <si>
    <t>39558451677</t>
  </si>
  <si>
    <t>39513601270</t>
  </si>
  <si>
    <t>39578550070</t>
  </si>
  <si>
    <t>39527220572</t>
  </si>
  <si>
    <t>39538470770</t>
  </si>
  <si>
    <t>39529842275</t>
  </si>
  <si>
    <t>39529940082</t>
  </si>
  <si>
    <t>39529940072</t>
  </si>
  <si>
    <t>39529670972</t>
  </si>
  <si>
    <t>39537660071</t>
  </si>
  <si>
    <t>39516933476</t>
  </si>
  <si>
    <t>39529760072</t>
  </si>
  <si>
    <t>39538530570</t>
  </si>
  <si>
    <t>39548230770</t>
  </si>
  <si>
    <t>39527940570</t>
  </si>
  <si>
    <t>39525451370</t>
  </si>
  <si>
    <t>39522651071</t>
  </si>
  <si>
    <t>39529845170</t>
  </si>
  <si>
    <t>39513601370</t>
  </si>
  <si>
    <t>39529843271</t>
  </si>
  <si>
    <t>39521600773</t>
  </si>
  <si>
    <t>39521601870</t>
  </si>
  <si>
    <t>39529671771</t>
  </si>
  <si>
    <t>39513601170</t>
  </si>
  <si>
    <t>39512282273</t>
  </si>
  <si>
    <t>39529842673</t>
  </si>
  <si>
    <t>39529670173</t>
  </si>
  <si>
    <t>39527030571</t>
  </si>
  <si>
    <t>39513601371</t>
  </si>
  <si>
    <t>39511004370</t>
  </si>
  <si>
    <t>39521000070</t>
  </si>
  <si>
    <t>39529841275</t>
  </si>
  <si>
    <t>39523650770</t>
  </si>
  <si>
    <t>39529841274</t>
  </si>
  <si>
    <t>39527030572</t>
  </si>
  <si>
    <t>39549920371</t>
  </si>
  <si>
    <t>39557420072</t>
  </si>
  <si>
    <t>39556590074</t>
  </si>
  <si>
    <t>39555720072</t>
  </si>
  <si>
    <t>39556290076</t>
  </si>
  <si>
    <t>39559050070</t>
  </si>
  <si>
    <t>39557200074</t>
  </si>
  <si>
    <t>39557570073</t>
  </si>
  <si>
    <t>39570050071</t>
  </si>
  <si>
    <t>39553780072</t>
  </si>
  <si>
    <t>39548240470</t>
  </si>
  <si>
    <t>39556290077</t>
  </si>
  <si>
    <t>39557380074</t>
  </si>
  <si>
    <t>39538530370</t>
  </si>
  <si>
    <t>39520200071</t>
  </si>
  <si>
    <t>39522350074</t>
  </si>
  <si>
    <t>39527200571</t>
  </si>
  <si>
    <t>39526951170</t>
  </si>
  <si>
    <t>39529840676</t>
  </si>
  <si>
    <t>39526560072</t>
  </si>
  <si>
    <t>39537450070</t>
  </si>
  <si>
    <t>39538340072</t>
  </si>
  <si>
    <t>39538390070</t>
  </si>
  <si>
    <t>39521901070</t>
  </si>
  <si>
    <t>39527030073</t>
  </si>
  <si>
    <t>39548240371</t>
  </si>
  <si>
    <t>39548670170</t>
  </si>
  <si>
    <t>39523950771</t>
  </si>
  <si>
    <t>39522900373</t>
  </si>
  <si>
    <t>39523700470</t>
  </si>
  <si>
    <t>39529840775</t>
  </si>
  <si>
    <t>39539260070</t>
  </si>
  <si>
    <t>39539250070</t>
  </si>
  <si>
    <t>39559780074</t>
  </si>
  <si>
    <t>39538140070</t>
  </si>
  <si>
    <t>39536340075</t>
  </si>
  <si>
    <t>39537450570</t>
  </si>
  <si>
    <t>39571170072</t>
  </si>
  <si>
    <t>39560400075</t>
  </si>
  <si>
    <t>39554550070</t>
  </si>
  <si>
    <t>39558560072</t>
  </si>
  <si>
    <t>39553390072</t>
  </si>
  <si>
    <t>39570490070</t>
  </si>
  <si>
    <t>39538340572</t>
  </si>
  <si>
    <t>39551160071</t>
  </si>
  <si>
    <t>39573230071</t>
  </si>
  <si>
    <t>39559921124</t>
  </si>
  <si>
    <t>39559921125</t>
  </si>
  <si>
    <t>39559921126</t>
  </si>
  <si>
    <t>39559921127</t>
  </si>
  <si>
    <t>39557860074</t>
  </si>
  <si>
    <t>39550250072</t>
  </si>
  <si>
    <t>39557380075</t>
  </si>
  <si>
    <t>39572690071</t>
  </si>
  <si>
    <t>39573820071</t>
  </si>
  <si>
    <t>39573870072</t>
  </si>
  <si>
    <t>39527450071</t>
  </si>
  <si>
    <t>39554080070</t>
  </si>
  <si>
    <t>39550170070</t>
  </si>
  <si>
    <t>39538520670</t>
  </si>
  <si>
    <t>39524450971</t>
  </si>
  <si>
    <t>39548230771</t>
  </si>
  <si>
    <t>39557880076</t>
  </si>
  <si>
    <t>39554360075</t>
  </si>
  <si>
    <t>39553850071</t>
  </si>
  <si>
    <t>39558920073</t>
  </si>
  <si>
    <t>39559760075</t>
  </si>
  <si>
    <t>39559760076</t>
  </si>
  <si>
    <t>39538040075</t>
  </si>
  <si>
    <t>39556770078</t>
  </si>
  <si>
    <t>39558440075</t>
  </si>
  <si>
    <t>39556650075</t>
  </si>
  <si>
    <t>39559320074</t>
  </si>
  <si>
    <t>39520301071</t>
  </si>
  <si>
    <t>39554780077</t>
  </si>
  <si>
    <t>39538130070</t>
  </si>
  <si>
    <t>39569920075</t>
  </si>
  <si>
    <t>39511004671</t>
  </si>
  <si>
    <t>39521301570</t>
  </si>
  <si>
    <t>39527200970</t>
  </si>
  <si>
    <t>39529845070</t>
  </si>
  <si>
    <t>39527030072</t>
  </si>
  <si>
    <t>39527360070</t>
  </si>
  <si>
    <t>39527020370</t>
  </si>
  <si>
    <t>39586800074</t>
  </si>
  <si>
    <t>39527560571</t>
  </si>
  <si>
    <t>39527180078</t>
  </si>
  <si>
    <t>39527180073</t>
  </si>
  <si>
    <t>39529841577</t>
  </si>
  <si>
    <t>39527530273</t>
  </si>
  <si>
    <t>39526520570</t>
  </si>
  <si>
    <t>39529870771</t>
  </si>
  <si>
    <t>39529841578</t>
  </si>
  <si>
    <t>39526151573</t>
  </si>
  <si>
    <t>39537650570</t>
  </si>
  <si>
    <t>39589970040</t>
  </si>
  <si>
    <t>39585600173</t>
  </si>
  <si>
    <t>39580400174</t>
  </si>
  <si>
    <t>39572750070</t>
  </si>
  <si>
    <t>39571460070</t>
  </si>
  <si>
    <t>39538460074</t>
  </si>
  <si>
    <t>39527190071</t>
  </si>
  <si>
    <t>39527210076</t>
  </si>
  <si>
    <t>39527200971</t>
  </si>
  <si>
    <t>39526950372</t>
  </si>
  <si>
    <t>39578590070</t>
  </si>
  <si>
    <t>39587930071</t>
  </si>
  <si>
    <t>39587950070</t>
  </si>
  <si>
    <t>39538340571</t>
  </si>
  <si>
    <t>39572310070</t>
  </si>
  <si>
    <t>39548680570</t>
  </si>
  <si>
    <t>39548260171</t>
  </si>
  <si>
    <t>39548260071</t>
  </si>
  <si>
    <t>39548230570</t>
  </si>
  <si>
    <t>39538460075</t>
  </si>
  <si>
    <t>39548250571</t>
  </si>
  <si>
    <t>39538460073</t>
  </si>
  <si>
    <t>39527170372</t>
  </si>
  <si>
    <t>39572840071</t>
  </si>
  <si>
    <t>39548240372</t>
  </si>
  <si>
    <t>39543860001</t>
  </si>
  <si>
    <t>39559921138</t>
  </si>
  <si>
    <t>39539910020</t>
  </si>
  <si>
    <t>39551600001</t>
  </si>
  <si>
    <t>39559880114</t>
  </si>
  <si>
    <t>39569950009</t>
  </si>
  <si>
    <t>39558490021</t>
  </si>
  <si>
    <t>39559900229</t>
  </si>
  <si>
    <t>39559921135</t>
  </si>
  <si>
    <t>39559930208</t>
  </si>
  <si>
    <t>39559940218</t>
  </si>
  <si>
    <t>39539960020</t>
  </si>
  <si>
    <t>39559921139</t>
  </si>
  <si>
    <t>39562800276</t>
  </si>
  <si>
    <t>39559900134</t>
  </si>
  <si>
    <t>39516400174</t>
  </si>
  <si>
    <t>39549861370</t>
  </si>
  <si>
    <t>39541401075</t>
  </si>
  <si>
    <t>39592200080</t>
  </si>
  <si>
    <t>39569951181</t>
  </si>
  <si>
    <t>39569991884</t>
  </si>
  <si>
    <t>39569991186</t>
  </si>
  <si>
    <t>39566250080</t>
  </si>
  <si>
    <t>39570760172</t>
  </si>
  <si>
    <t>39527181970</t>
  </si>
  <si>
    <t>39527182070</t>
  </si>
  <si>
    <t>39521601770</t>
  </si>
  <si>
    <t>39520301570</t>
  </si>
  <si>
    <t>39516600367</t>
  </si>
  <si>
    <t>39525750370</t>
  </si>
  <si>
    <t>39551701682</t>
  </si>
  <si>
    <t>39561450173</t>
  </si>
  <si>
    <t>39594930070</t>
  </si>
  <si>
    <t>39593300170</t>
  </si>
  <si>
    <t>39598130271</t>
  </si>
  <si>
    <t>39529842172</t>
  </si>
  <si>
    <t>39527070970</t>
  </si>
  <si>
    <t>39523050270</t>
  </si>
  <si>
    <t>39525650373</t>
  </si>
  <si>
    <t>39514401571</t>
  </si>
  <si>
    <t>39516410270</t>
  </si>
  <si>
    <t>39548220171</t>
  </si>
  <si>
    <t>39594390270</t>
  </si>
  <si>
    <t>39538310771</t>
  </si>
  <si>
    <t>39538310772</t>
  </si>
  <si>
    <t>39528140370</t>
  </si>
  <si>
    <t>39529841571</t>
  </si>
  <si>
    <t>39520501270</t>
  </si>
  <si>
    <t>39594880270</t>
  </si>
  <si>
    <t>39595090270</t>
  </si>
  <si>
    <t>39526450690</t>
  </si>
  <si>
    <t>39564302071</t>
  </si>
  <si>
    <t>39520901670</t>
  </si>
  <si>
    <t>39516410272</t>
  </si>
  <si>
    <t>39529670077</t>
  </si>
  <si>
    <t>39522650078</t>
  </si>
  <si>
    <t>39529841374</t>
  </si>
  <si>
    <t>39521100072</t>
  </si>
  <si>
    <t>39521600571</t>
  </si>
  <si>
    <t>39526450790</t>
  </si>
  <si>
    <t>39529840997</t>
  </si>
  <si>
    <t>39529840994</t>
  </si>
  <si>
    <t>39529840477</t>
  </si>
  <si>
    <t>39559920918</t>
  </si>
  <si>
    <t>39525450372</t>
  </si>
  <si>
    <t>39553500272</t>
  </si>
  <si>
    <t>39539960010</t>
  </si>
  <si>
    <t>39510603477</t>
  </si>
  <si>
    <t>39527821370</t>
  </si>
  <si>
    <t>39537820470</t>
  </si>
  <si>
    <t>39537790370</t>
  </si>
  <si>
    <t>39558450170</t>
  </si>
  <si>
    <t>39557550073</t>
  </si>
  <si>
    <t>39559920719</t>
  </si>
  <si>
    <t>39560850277</t>
  </si>
  <si>
    <t>39553100275</t>
  </si>
  <si>
    <t>39529842296</t>
  </si>
  <si>
    <t>39559900040</t>
  </si>
  <si>
    <t>39559930016</t>
  </si>
  <si>
    <t>39529845571</t>
  </si>
  <si>
    <t>39529842772</t>
  </si>
  <si>
    <t>39559900137</t>
  </si>
  <si>
    <t>39592600081</t>
  </si>
  <si>
    <t>39569500482</t>
  </si>
  <si>
    <t>39515901883</t>
  </si>
  <si>
    <t>39514300089</t>
  </si>
  <si>
    <t>39560850275</t>
  </si>
  <si>
    <t>39559910781</t>
  </si>
  <si>
    <t>39557800372</t>
  </si>
  <si>
    <t>39552900271</t>
  </si>
  <si>
    <t>39530700460</t>
  </si>
  <si>
    <t>39561600070</t>
  </si>
  <si>
    <t>39557700271</t>
  </si>
  <si>
    <t>39556060370</t>
  </si>
  <si>
    <t>39557800363</t>
  </si>
  <si>
    <t>39551500270</t>
  </si>
  <si>
    <t>39555800470</t>
  </si>
  <si>
    <t>39559910262</t>
  </si>
  <si>
    <t>39529842992</t>
  </si>
  <si>
    <t>39529842993</t>
  </si>
  <si>
    <t>39529842991</t>
  </si>
  <si>
    <t>39529842994</t>
  </si>
  <si>
    <t>39598350271</t>
  </si>
  <si>
    <t>39569951271</t>
  </si>
  <si>
    <t>39514101172</t>
  </si>
  <si>
    <t>39514101171</t>
  </si>
  <si>
    <t>39525680072</t>
  </si>
  <si>
    <t>39514101173</t>
  </si>
  <si>
    <t>39529842171</t>
  </si>
  <si>
    <t>39525680071</t>
  </si>
  <si>
    <t>39524150271</t>
  </si>
  <si>
    <t>39529842173</t>
  </si>
  <si>
    <t>39598550070</t>
  </si>
  <si>
    <t>39515901882</t>
  </si>
  <si>
    <t>39538520770</t>
  </si>
  <si>
    <t>39561070370</t>
  </si>
  <si>
    <t>39563800170</t>
  </si>
  <si>
    <t>39549890271</t>
  </si>
  <si>
    <t>39544230001</t>
  </si>
  <si>
    <t>39565280752</t>
  </si>
  <si>
    <t>39511306588</t>
  </si>
  <si>
    <t>39511467554</t>
  </si>
  <si>
    <t>39514502370</t>
  </si>
  <si>
    <t>39559920707</t>
  </si>
  <si>
    <t>39539960012</t>
  </si>
  <si>
    <t>39592690871</t>
  </si>
  <si>
    <t>39513001374</t>
  </si>
  <si>
    <t>39548210680</t>
  </si>
  <si>
    <t>39527090380</t>
  </si>
  <si>
    <t>39527040075</t>
  </si>
  <si>
    <t>39569330052</t>
  </si>
  <si>
    <t>39569330053</t>
  </si>
  <si>
    <t>39575750773</t>
  </si>
  <si>
    <t>39513700073</t>
  </si>
  <si>
    <t>39520401573</t>
  </si>
  <si>
    <t>39557800361</t>
  </si>
  <si>
    <t>39524101070</t>
  </si>
  <si>
    <t>39516021071</t>
  </si>
  <si>
    <t>39527220471</t>
  </si>
  <si>
    <t>39527220871</t>
  </si>
  <si>
    <t>39599580071</t>
  </si>
  <si>
    <t>39526950571</t>
  </si>
  <si>
    <t>39568080270</t>
  </si>
  <si>
    <t>39569970573</t>
  </si>
  <si>
    <t>39522251370</t>
  </si>
  <si>
    <t>39592200472</t>
  </si>
  <si>
    <t>39511752170</t>
  </si>
  <si>
    <t>39511701972</t>
  </si>
  <si>
    <t>39522251570</t>
  </si>
  <si>
    <t>39515950973</t>
  </si>
  <si>
    <t>39510900975</t>
  </si>
  <si>
    <t>39527731070</t>
  </si>
  <si>
    <t>39590400371</t>
  </si>
  <si>
    <t>39562200476</t>
  </si>
  <si>
    <t>39598350670</t>
  </si>
  <si>
    <t>39554200272</t>
  </si>
  <si>
    <t>39579980077</t>
  </si>
  <si>
    <t>39552800371</t>
  </si>
  <si>
    <t>39538520571</t>
  </si>
  <si>
    <t>39529870672</t>
  </si>
  <si>
    <t>39521900674</t>
  </si>
  <si>
    <t>39529671171</t>
  </si>
  <si>
    <t>39529671172</t>
  </si>
  <si>
    <t>39525550770</t>
  </si>
  <si>
    <t>39529802270</t>
  </si>
  <si>
    <t>39529800870</t>
  </si>
  <si>
    <t>39522250074</t>
  </si>
  <si>
    <t>39559900042</t>
  </si>
  <si>
    <t>39527181471</t>
  </si>
  <si>
    <t>39527040079</t>
  </si>
  <si>
    <t>39524000771</t>
  </si>
  <si>
    <t>39598130270</t>
  </si>
  <si>
    <t>39512290471</t>
  </si>
  <si>
    <t>39512290472</t>
  </si>
  <si>
    <t>39598130272</t>
  </si>
  <si>
    <t>39598830070</t>
  </si>
  <si>
    <t>39529950385</t>
  </si>
  <si>
    <t>39527210382</t>
  </si>
  <si>
    <t>39529841782</t>
  </si>
  <si>
    <t>39529671881</t>
  </si>
  <si>
    <t>39529671882</t>
  </si>
  <si>
    <t>39521601980</t>
  </si>
  <si>
    <t>39529842782</t>
  </si>
  <si>
    <t>39529870385</t>
  </si>
  <si>
    <t>39529940683</t>
  </si>
  <si>
    <t>39529843171</t>
  </si>
  <si>
    <t>39515200161</t>
  </si>
  <si>
    <t>39513000971</t>
  </si>
  <si>
    <t>39531000075</t>
  </si>
  <si>
    <t>39526980373</t>
  </si>
  <si>
    <t>39551450071</t>
  </si>
  <si>
    <t>39598350470</t>
  </si>
  <si>
    <t>39524101071</t>
  </si>
  <si>
    <t>39569991673</t>
  </si>
  <si>
    <t>39516400373</t>
  </si>
  <si>
    <t>39591300372</t>
  </si>
  <si>
    <t>39516104471</t>
  </si>
  <si>
    <t>39566530071</t>
  </si>
  <si>
    <t>39538300870</t>
  </si>
  <si>
    <t>39548690370</t>
  </si>
  <si>
    <t>39598350570</t>
  </si>
  <si>
    <t>39527070372</t>
  </si>
  <si>
    <t>39531700971</t>
  </si>
  <si>
    <t>39567670271</t>
  </si>
  <si>
    <t>39538420070</t>
  </si>
  <si>
    <t>39563700175</t>
  </si>
  <si>
    <t>39590951071</t>
  </si>
  <si>
    <t>39566850470</t>
  </si>
  <si>
    <t>39566680070</t>
  </si>
  <si>
    <t>39568380070</t>
  </si>
  <si>
    <t>39538350075</t>
  </si>
  <si>
    <t>39538350574</t>
  </si>
  <si>
    <t>39521551570</t>
  </si>
  <si>
    <t>39536970570</t>
  </si>
  <si>
    <t>39563700176</t>
  </si>
  <si>
    <t>39560850276</t>
  </si>
  <si>
    <t>39543900174</t>
  </si>
  <si>
    <t>39538330570</t>
  </si>
  <si>
    <t>39538340073</t>
  </si>
  <si>
    <t>39541401074</t>
  </si>
  <si>
    <t>39526990073</t>
  </si>
  <si>
    <t>39566940471</t>
  </si>
  <si>
    <t>39537510370</t>
  </si>
  <si>
    <t>39525450971</t>
  </si>
  <si>
    <t>39524550770</t>
  </si>
  <si>
    <t>39522300773</t>
  </si>
  <si>
    <t>39523650571</t>
  </si>
  <si>
    <t>39522700470</t>
  </si>
  <si>
    <t>39532401170</t>
  </si>
  <si>
    <t>39558490207</t>
  </si>
  <si>
    <t>39551630777</t>
  </si>
  <si>
    <t>39527220970</t>
  </si>
  <si>
    <t>39521090270</t>
  </si>
  <si>
    <t>39513202373</t>
  </si>
  <si>
    <t>39525950373</t>
  </si>
  <si>
    <t>39537630074</t>
  </si>
  <si>
    <t>39513202371</t>
  </si>
  <si>
    <t>39526670371</t>
  </si>
  <si>
    <t>39538320171</t>
  </si>
  <si>
    <t>39538310072</t>
  </si>
  <si>
    <t>39538300170</t>
  </si>
  <si>
    <t>39512280977</t>
  </si>
  <si>
    <t>39569340673</t>
  </si>
  <si>
    <t>39593600273</t>
  </si>
  <si>
    <t>39538370071</t>
  </si>
  <si>
    <t>39565360374</t>
  </si>
  <si>
    <t>39568340170</t>
  </si>
  <si>
    <t>39598220070</t>
  </si>
  <si>
    <t>39595130170</t>
  </si>
  <si>
    <t>39563550074</t>
  </si>
  <si>
    <t>39527070571</t>
  </si>
  <si>
    <t>39527400270</t>
  </si>
  <si>
    <t>39522600870</t>
  </si>
  <si>
    <t>39529840074</t>
  </si>
  <si>
    <t>39569970470</t>
  </si>
  <si>
    <t>39520401470</t>
  </si>
  <si>
    <t>39569990972</t>
  </si>
  <si>
    <t>39569950771</t>
  </si>
  <si>
    <t>39569960472</t>
  </si>
  <si>
    <t>39569981371</t>
  </si>
  <si>
    <t>39569990076</t>
  </si>
  <si>
    <t>39523901270</t>
  </si>
  <si>
    <t>39592950070</t>
  </si>
  <si>
    <t>39569420172</t>
  </si>
  <si>
    <t>39527070670</t>
  </si>
  <si>
    <t>39525050073</t>
  </si>
  <si>
    <t>39567670171</t>
  </si>
  <si>
    <t>39525650770</t>
  </si>
  <si>
    <t>39527880071</t>
  </si>
  <si>
    <t>39527040970</t>
  </si>
  <si>
    <t>39558490205</t>
  </si>
  <si>
    <t>39527180471</t>
  </si>
  <si>
    <t>39527180472</t>
  </si>
  <si>
    <t>39523900973</t>
  </si>
  <si>
    <t>39527030971</t>
  </si>
  <si>
    <t>39521950470</t>
  </si>
  <si>
    <t>39537320971</t>
  </si>
  <si>
    <t>39525050371</t>
  </si>
  <si>
    <t>39525050381</t>
  </si>
  <si>
    <t>39521350471</t>
  </si>
  <si>
    <t>39526740270</t>
  </si>
  <si>
    <t>39520500871</t>
  </si>
  <si>
    <t>39525250371</t>
  </si>
  <si>
    <t>39516460872</t>
  </si>
  <si>
    <t>39510603384</t>
  </si>
  <si>
    <t>39529840073</t>
  </si>
  <si>
    <t>39520500470</t>
  </si>
  <si>
    <t>39523950571</t>
  </si>
  <si>
    <t>39524150070</t>
  </si>
  <si>
    <t>39512290474</t>
  </si>
  <si>
    <t>39520800072</t>
  </si>
  <si>
    <t>39527820376</t>
  </si>
  <si>
    <t>39596600174</t>
  </si>
  <si>
    <t>39514300087</t>
  </si>
  <si>
    <t>39598740070</t>
  </si>
  <si>
    <t>39538300171</t>
  </si>
  <si>
    <t>39529670174</t>
  </si>
  <si>
    <t>39520601070</t>
  </si>
  <si>
    <t>39527590370</t>
  </si>
  <si>
    <t>39532100075</t>
  </si>
  <si>
    <t>39512290473</t>
  </si>
  <si>
    <t>39512290475</t>
  </si>
  <si>
    <t>39512290476</t>
  </si>
  <si>
    <t>39529843071</t>
  </si>
  <si>
    <t>39510602774</t>
  </si>
  <si>
    <t>39529843371</t>
  </si>
  <si>
    <t>39538460271</t>
  </si>
  <si>
    <t>39558451675</t>
  </si>
  <si>
    <t>39558451673</t>
  </si>
  <si>
    <t>39528030371</t>
  </si>
  <si>
    <t>39520900771</t>
  </si>
  <si>
    <t>39527030972</t>
  </si>
  <si>
    <t>39527030772</t>
  </si>
  <si>
    <t>39558451674</t>
  </si>
  <si>
    <t>39521100371</t>
  </si>
  <si>
    <t>39524101571</t>
  </si>
  <si>
    <t>39524101570</t>
  </si>
  <si>
    <t>39591803571</t>
  </si>
  <si>
    <t>39527070374</t>
  </si>
  <si>
    <t>39558451672</t>
  </si>
  <si>
    <t>39558451684</t>
  </si>
  <si>
    <t>39527200771</t>
  </si>
  <si>
    <t>39525900471</t>
  </si>
  <si>
    <t>39527030076</t>
  </si>
  <si>
    <t>39516600273</t>
  </si>
  <si>
    <t>39510602771</t>
  </si>
  <si>
    <t>39511467572</t>
  </si>
  <si>
    <t>39511306481</t>
  </si>
  <si>
    <t>39511306678</t>
  </si>
  <si>
    <t>39511306581</t>
  </si>
  <si>
    <t>39511306676</t>
  </si>
  <si>
    <t>39511306672</t>
  </si>
  <si>
    <t>39511306671</t>
  </si>
  <si>
    <t>39511306571</t>
  </si>
  <si>
    <t>39511306471</t>
  </si>
  <si>
    <t>39511306684</t>
  </si>
  <si>
    <t>39511306572</t>
  </si>
  <si>
    <t>39511306772</t>
  </si>
  <si>
    <t>39511306473</t>
  </si>
  <si>
    <t>39511306574</t>
  </si>
  <si>
    <t>39511306680</t>
  </si>
  <si>
    <t>39511306681</t>
  </si>
  <si>
    <t>39511306682</t>
  </si>
  <si>
    <t>39511306683</t>
  </si>
  <si>
    <t>39511306472</t>
  </si>
  <si>
    <t>39511306881</t>
  </si>
  <si>
    <t>39511306877</t>
  </si>
  <si>
    <t>39511306476</t>
  </si>
  <si>
    <t>39511306578</t>
  </si>
  <si>
    <t>39511306477</t>
  </si>
  <si>
    <t>39511306677</t>
  </si>
  <si>
    <t>39529840679</t>
  </si>
  <si>
    <t>39569981373</t>
  </si>
  <si>
    <t>39566660371</t>
  </si>
  <si>
    <t>39558451676</t>
  </si>
  <si>
    <t>39554100074</t>
  </si>
  <si>
    <t>39530500481</t>
  </si>
  <si>
    <t>39598940072</t>
  </si>
  <si>
    <t>39568710070</t>
  </si>
  <si>
    <t>39567920070</t>
  </si>
  <si>
    <t>39598760070</t>
  </si>
  <si>
    <t>39566520170</t>
  </si>
  <si>
    <t>39598460070</t>
  </si>
  <si>
    <t>39594790074</t>
  </si>
  <si>
    <t>39598330372</t>
  </si>
  <si>
    <t>39594780670</t>
  </si>
  <si>
    <t>39566690070</t>
  </si>
  <si>
    <t>39566650570</t>
  </si>
  <si>
    <t>39566730272</t>
  </si>
  <si>
    <t>39569250170</t>
  </si>
  <si>
    <t>39566780270</t>
  </si>
  <si>
    <t>39566850372</t>
  </si>
  <si>
    <t>39595170471</t>
  </si>
  <si>
    <t>39594710070</t>
  </si>
  <si>
    <t>39566520370</t>
  </si>
  <si>
    <t>39567770070</t>
  </si>
  <si>
    <t>39565970070</t>
  </si>
  <si>
    <t>39598770371</t>
  </si>
  <si>
    <t>39587240471</t>
  </si>
  <si>
    <t>39566640070</t>
  </si>
  <si>
    <t>39566880070</t>
  </si>
  <si>
    <t>39594310070</t>
  </si>
  <si>
    <t>39594780371</t>
  </si>
  <si>
    <t>39594810074</t>
  </si>
  <si>
    <t>39563750171</t>
  </si>
  <si>
    <t>39569870270</t>
  </si>
  <si>
    <t>39568320672</t>
  </si>
  <si>
    <t>39566670170</t>
  </si>
  <si>
    <t>39567390070</t>
  </si>
  <si>
    <t>39593940070</t>
  </si>
  <si>
    <t>39569520170</t>
  </si>
  <si>
    <t>39561250271</t>
  </si>
  <si>
    <t>39598090070</t>
  </si>
  <si>
    <t>39598090071</t>
  </si>
  <si>
    <t>39593020070</t>
  </si>
  <si>
    <t>39598540070</t>
  </si>
  <si>
    <t>39592930070</t>
  </si>
  <si>
    <t>39592930071</t>
  </si>
  <si>
    <t>39566530072</t>
  </si>
  <si>
    <t>39595310370</t>
  </si>
  <si>
    <t>39595090070</t>
  </si>
  <si>
    <t>39593710070</t>
  </si>
  <si>
    <t>39566260170</t>
  </si>
  <si>
    <t>39566710170</t>
  </si>
  <si>
    <t>39566790270</t>
  </si>
  <si>
    <t>39599580270</t>
  </si>
  <si>
    <t>39568440172</t>
  </si>
  <si>
    <t>39568990072</t>
  </si>
  <si>
    <t>39568860272</t>
  </si>
  <si>
    <t>39568870171</t>
  </si>
  <si>
    <t>39566720170</t>
  </si>
  <si>
    <t>39587000070</t>
  </si>
  <si>
    <t>39594230070</t>
  </si>
  <si>
    <t>39598350071</t>
  </si>
  <si>
    <t>39569520171</t>
  </si>
  <si>
    <t>39594710473</t>
  </si>
  <si>
    <t>39527220772</t>
  </si>
  <si>
    <t>39595170472</t>
  </si>
  <si>
    <t>39598260070</t>
  </si>
  <si>
    <t>39569110072</t>
  </si>
  <si>
    <t>39598150070</t>
  </si>
  <si>
    <t>39591401281</t>
  </si>
  <si>
    <t>39516200278</t>
  </si>
  <si>
    <t>39529845573</t>
  </si>
  <si>
    <t>39529845574</t>
  </si>
  <si>
    <t>39514912271</t>
  </si>
  <si>
    <t>39563700173</t>
  </si>
  <si>
    <t>39544301971</t>
  </si>
  <si>
    <t>39540753572</t>
  </si>
  <si>
    <t>39590500371</t>
  </si>
  <si>
    <t>39514100073</t>
  </si>
  <si>
    <t>39520300971</t>
  </si>
  <si>
    <t>39511000573</t>
  </si>
  <si>
    <t>39511751876</t>
  </si>
  <si>
    <t>39515901872</t>
  </si>
  <si>
    <t>39520250373</t>
  </si>
  <si>
    <t>39520300970</t>
  </si>
  <si>
    <t>39527730571</t>
  </si>
  <si>
    <t>39522651870</t>
  </si>
  <si>
    <t>39565360373</t>
  </si>
  <si>
    <t>39563600575</t>
  </si>
  <si>
    <t>39591801772</t>
  </si>
  <si>
    <t>39523450771</t>
  </si>
  <si>
    <t>39529900081</t>
  </si>
  <si>
    <t>39529900071</t>
  </si>
  <si>
    <t>39510300976</t>
  </si>
  <si>
    <t>39598770072</t>
  </si>
  <si>
    <t>39521401470</t>
  </si>
  <si>
    <t>39511741074</t>
  </si>
  <si>
    <t>39533250671</t>
  </si>
  <si>
    <t>39515901870</t>
  </si>
  <si>
    <t>39522900073</t>
  </si>
  <si>
    <t>39527220771</t>
  </si>
  <si>
    <t>39522002070</t>
  </si>
  <si>
    <t>39533800670</t>
  </si>
  <si>
    <t>39598760071</t>
  </si>
  <si>
    <t>39511701961</t>
  </si>
  <si>
    <t>39510601072</t>
  </si>
  <si>
    <t>39510900871</t>
  </si>
  <si>
    <t>39599310272</t>
  </si>
  <si>
    <t>39522750570</t>
  </si>
  <si>
    <t>39527170470</t>
  </si>
  <si>
    <t>39522501570</t>
  </si>
  <si>
    <t>39520602070</t>
  </si>
  <si>
    <t>39591200971</t>
  </si>
  <si>
    <t>39520402170</t>
  </si>
  <si>
    <t>39522400078</t>
  </si>
  <si>
    <t>39538400671</t>
  </si>
  <si>
    <t>39531901170</t>
  </si>
  <si>
    <t>39520250773</t>
  </si>
  <si>
    <t>39523401070</t>
  </si>
  <si>
    <t>39515901871</t>
  </si>
  <si>
    <t>39592050360</t>
  </si>
  <si>
    <t>39510604770</t>
  </si>
  <si>
    <t>39523700075</t>
  </si>
  <si>
    <t>39522400571</t>
  </si>
  <si>
    <t>39510900377</t>
  </si>
  <si>
    <t>39592501471</t>
  </si>
  <si>
    <t>39521201870</t>
  </si>
  <si>
    <t>39566300174</t>
  </si>
  <si>
    <t>39513800270</t>
  </si>
  <si>
    <t>39523800270</t>
  </si>
  <si>
    <t>39565300170</t>
  </si>
  <si>
    <t>39512280976</t>
  </si>
  <si>
    <t>39561400152</t>
  </si>
  <si>
    <t>39521500071</t>
  </si>
  <si>
    <t>39531800076</t>
  </si>
  <si>
    <t>39521201470</t>
  </si>
  <si>
    <t>39529843772</t>
  </si>
  <si>
    <t>39524401260</t>
  </si>
  <si>
    <t>39523101371</t>
  </si>
  <si>
    <t>39525250350</t>
  </si>
  <si>
    <t>39514501951</t>
  </si>
  <si>
    <t>39599950574</t>
  </si>
  <si>
    <t>39525250351</t>
  </si>
  <si>
    <t>39511004570</t>
  </si>
  <si>
    <t>39540300371</t>
  </si>
  <si>
    <t>39548240570</t>
  </si>
  <si>
    <t>39548240670</t>
  </si>
  <si>
    <t>39527040372</t>
  </si>
  <si>
    <t>39524500073</t>
  </si>
  <si>
    <t>39522651172</t>
  </si>
  <si>
    <t>39531700970</t>
  </si>
  <si>
    <t>39527030871</t>
  </si>
  <si>
    <t>39527020371</t>
  </si>
  <si>
    <t>39529841383</t>
  </si>
  <si>
    <t>39525650970</t>
  </si>
  <si>
    <t>39529780270</t>
  </si>
  <si>
    <t>39530800140</t>
  </si>
  <si>
    <t>39558650274</t>
  </si>
  <si>
    <t>39540600571</t>
  </si>
  <si>
    <t>39558451683</t>
  </si>
  <si>
    <t>39575750783</t>
  </si>
  <si>
    <t>39558451679</t>
  </si>
  <si>
    <t>39515350774</t>
  </si>
  <si>
    <t>39550900572</t>
  </si>
  <si>
    <t>39521100372</t>
  </si>
  <si>
    <t>39561450183</t>
  </si>
  <si>
    <t>39561450184</t>
  </si>
  <si>
    <t>39516410280</t>
  </si>
  <si>
    <t>39516410282</t>
  </si>
  <si>
    <t>39521901071</t>
  </si>
  <si>
    <t>39529870970</t>
  </si>
  <si>
    <t>39529671872</t>
  </si>
  <si>
    <t>39529671871</t>
  </si>
  <si>
    <t>39527182370</t>
  </si>
  <si>
    <t>39537000672</t>
  </si>
  <si>
    <t>39537000671</t>
  </si>
  <si>
    <t>39520700377</t>
  </si>
  <si>
    <t>39522450190</t>
  </si>
  <si>
    <t>39569920076</t>
  </si>
  <si>
    <t>39529980475</t>
  </si>
  <si>
    <t>39558970060</t>
  </si>
  <si>
    <t>39558990060</t>
  </si>
  <si>
    <t>39571170060</t>
  </si>
  <si>
    <t>39510603473</t>
  </si>
  <si>
    <t>39538260072</t>
  </si>
  <si>
    <t>39537000071</t>
  </si>
  <si>
    <t>39529800570</t>
  </si>
  <si>
    <t>39525650272</t>
  </si>
  <si>
    <t>39529940870</t>
  </si>
  <si>
    <t>39530500482</t>
  </si>
  <si>
    <t>39565180671</t>
  </si>
  <si>
    <t>39569991889</t>
  </si>
  <si>
    <t>39569991881</t>
  </si>
  <si>
    <t>39566630073</t>
  </si>
  <si>
    <t>39598360070</t>
  </si>
  <si>
    <t>39569981471</t>
  </si>
  <si>
    <t>39569991475</t>
  </si>
  <si>
    <t>39578540073</t>
  </si>
  <si>
    <t>39583450071</t>
  </si>
  <si>
    <t>39584160070</t>
  </si>
  <si>
    <t>39537240470</t>
  </si>
  <si>
    <t>39538380450</t>
  </si>
  <si>
    <t>39524104770</t>
  </si>
  <si>
    <t>39521201770</t>
  </si>
  <si>
    <t>39513600076</t>
  </si>
  <si>
    <t>39529840179</t>
  </si>
  <si>
    <t>39526950572</t>
  </si>
  <si>
    <t>39537660271</t>
  </si>
  <si>
    <t>39524500671</t>
  </si>
  <si>
    <t>39512290477</t>
  </si>
  <si>
    <t>39520250192</t>
  </si>
  <si>
    <t>39529840491</t>
  </si>
  <si>
    <t>39537360571</t>
  </si>
  <si>
    <t>39548222270</t>
  </si>
  <si>
    <t>39529672271</t>
  </si>
  <si>
    <t>39529672272</t>
  </si>
  <si>
    <t>39526972270</t>
  </si>
  <si>
    <t>39529670175</t>
  </si>
  <si>
    <t>39554000072</t>
  </si>
  <si>
    <t>39559900136</t>
  </si>
  <si>
    <t>39525650271</t>
  </si>
  <si>
    <t>39533250672</t>
  </si>
  <si>
    <t>39529842292</t>
  </si>
  <si>
    <t>39529844790</t>
  </si>
  <si>
    <t>39529844490</t>
  </si>
  <si>
    <t>39552800372</t>
  </si>
  <si>
    <t>39516600275</t>
  </si>
  <si>
    <t>39513700077</t>
  </si>
  <si>
    <t>39579980078</t>
  </si>
  <si>
    <t>39533000174</t>
  </si>
  <si>
    <t>39553500274</t>
  </si>
  <si>
    <t>39516930573</t>
  </si>
  <si>
    <t>39550900561</t>
  </si>
  <si>
    <t>39538310782</t>
  </si>
  <si>
    <t>39538310082</t>
  </si>
  <si>
    <t>39531700981</t>
  </si>
  <si>
    <t>39538310781</t>
  </si>
  <si>
    <t>39521350472</t>
  </si>
  <si>
    <t>39522250083</t>
  </si>
  <si>
    <t>39550780060</t>
  </si>
  <si>
    <t>39512290470</t>
  </si>
  <si>
    <t>39572240073</t>
  </si>
  <si>
    <t>39558080076</t>
  </si>
  <si>
    <t>39559900371</t>
  </si>
  <si>
    <t>39546460271</t>
  </si>
  <si>
    <t>39539390070</t>
  </si>
  <si>
    <t>39559900082</t>
  </si>
  <si>
    <t>39533640265</t>
  </si>
  <si>
    <t>39589460070</t>
  </si>
  <si>
    <t>39584120071</t>
  </si>
  <si>
    <t>39589380071</t>
  </si>
  <si>
    <t>39588830072</t>
  </si>
  <si>
    <t>39589950004</t>
  </si>
  <si>
    <t>39578810070</t>
  </si>
  <si>
    <t>39515300175</t>
  </si>
  <si>
    <t>39578960270</t>
  </si>
  <si>
    <t>39561500178</t>
  </si>
  <si>
    <t>39588220071</t>
  </si>
  <si>
    <t>39516200276</t>
  </si>
  <si>
    <t>39583470170</t>
  </si>
  <si>
    <t>39562800060</t>
  </si>
  <si>
    <t>39516200162</t>
  </si>
  <si>
    <t>39564140174</t>
  </si>
  <si>
    <t>39561500177</t>
  </si>
  <si>
    <t>39515400473</t>
  </si>
  <si>
    <t>39511990078</t>
  </si>
  <si>
    <t>39511990079</t>
  </si>
  <si>
    <t>39564200072</t>
  </si>
  <si>
    <t>39580800260</t>
  </si>
  <si>
    <t>39561400166</t>
  </si>
  <si>
    <t>39563800062</t>
  </si>
  <si>
    <t>39516200277</t>
  </si>
  <si>
    <t>39571100070</t>
  </si>
  <si>
    <t>39580600072</t>
  </si>
  <si>
    <t>39588290071</t>
  </si>
  <si>
    <t>39588290072</t>
  </si>
  <si>
    <t>39580800072</t>
  </si>
  <si>
    <t>39511990080</t>
  </si>
  <si>
    <t>39515600080</t>
  </si>
  <si>
    <t>39553500275</t>
  </si>
  <si>
    <t>39559900126</t>
  </si>
  <si>
    <t>39520402210</t>
  </si>
  <si>
    <t>39535750481</t>
  </si>
  <si>
    <t>39561450174</t>
  </si>
  <si>
    <t>39560400076</t>
  </si>
  <si>
    <t>39584130070</t>
  </si>
  <si>
    <t>39581500072</t>
  </si>
  <si>
    <t>39588620070</t>
  </si>
  <si>
    <t>39583940073</t>
  </si>
  <si>
    <t>39578680070</t>
  </si>
  <si>
    <t>39578400373</t>
  </si>
  <si>
    <t>39588900072</t>
  </si>
  <si>
    <t>39589070072</t>
  </si>
  <si>
    <t>39588800576</t>
  </si>
  <si>
    <t>39578610070</t>
  </si>
  <si>
    <t>39515500273</t>
  </si>
  <si>
    <t>39583740070</t>
  </si>
  <si>
    <t>39570270072</t>
  </si>
  <si>
    <t>39578740070</t>
  </si>
  <si>
    <t>39595490073</t>
  </si>
  <si>
    <t>39595490071</t>
  </si>
  <si>
    <t>39595490070</t>
  </si>
  <si>
    <t>39578950070</t>
  </si>
  <si>
    <t>39578950071</t>
  </si>
  <si>
    <t>39589070071</t>
  </si>
  <si>
    <t>39595470070</t>
  </si>
  <si>
    <t>39578520071</t>
  </si>
  <si>
    <t>39583960074</t>
  </si>
  <si>
    <t>39583860073</t>
  </si>
  <si>
    <t>39578730372</t>
  </si>
  <si>
    <t>39589320370</t>
  </si>
  <si>
    <t>39571460074</t>
  </si>
  <si>
    <t>39588840072</t>
  </si>
  <si>
    <t>39578610071</t>
  </si>
  <si>
    <t>39578200070</t>
  </si>
  <si>
    <t>39572440070</t>
  </si>
  <si>
    <t>39578780370</t>
  </si>
  <si>
    <t>39573640070</t>
  </si>
  <si>
    <t>39572770071</t>
  </si>
  <si>
    <t>39587930073</t>
  </si>
  <si>
    <t>39584020070</t>
  </si>
  <si>
    <t>39578500071</t>
  </si>
  <si>
    <t>39578790374</t>
  </si>
  <si>
    <t>39572500070</t>
  </si>
  <si>
    <t>39572810075</t>
  </si>
  <si>
    <t>39588850370</t>
  </si>
  <si>
    <t>39583830070</t>
  </si>
  <si>
    <t>39578410003</t>
  </si>
  <si>
    <t>39578620070</t>
  </si>
  <si>
    <t>39578290070</t>
  </si>
  <si>
    <t>39588870376</t>
  </si>
  <si>
    <t>39578460071</t>
  </si>
  <si>
    <t>39578590071</t>
  </si>
  <si>
    <t>39578560071</t>
  </si>
  <si>
    <t>39588830070</t>
  </si>
  <si>
    <t>39578390070</t>
  </si>
  <si>
    <t>39578390371</t>
  </si>
  <si>
    <t>39583860072</t>
  </si>
  <si>
    <t>39588570070</t>
  </si>
  <si>
    <t>39572900070</t>
  </si>
  <si>
    <t>39595490072</t>
  </si>
  <si>
    <t>39583970070</t>
  </si>
  <si>
    <t>39584050072</t>
  </si>
  <si>
    <t>39578930070</t>
  </si>
  <si>
    <t>39578330071</t>
  </si>
  <si>
    <t>39589020570</t>
  </si>
  <si>
    <t>39588960574</t>
  </si>
  <si>
    <t>39578560070</t>
  </si>
  <si>
    <t>39583970071</t>
  </si>
  <si>
    <t>39587770070</t>
  </si>
  <si>
    <t>39595470370</t>
  </si>
  <si>
    <t>39578810574</t>
  </si>
  <si>
    <t>39510200080</t>
  </si>
  <si>
    <t>39587830070</t>
  </si>
  <si>
    <t>39587940070</t>
  </si>
  <si>
    <t>39579000070</t>
  </si>
  <si>
    <t>39578940373</t>
  </si>
  <si>
    <t>39584600070</t>
  </si>
  <si>
    <t>39595450072</t>
  </si>
  <si>
    <t>39583130070</t>
  </si>
  <si>
    <t>39570400073</t>
  </si>
  <si>
    <t>39578230070</t>
  </si>
  <si>
    <t>39578300072</t>
  </si>
  <si>
    <t>39571760070</t>
  </si>
  <si>
    <t>39583330070</t>
  </si>
  <si>
    <t>39578340070</t>
  </si>
  <si>
    <t>39573750071</t>
  </si>
  <si>
    <t>39578310770</t>
  </si>
  <si>
    <t>39589150070</t>
  </si>
  <si>
    <t>39583280070</t>
  </si>
  <si>
    <t>39589960121</t>
  </si>
  <si>
    <t>39588290073</t>
  </si>
  <si>
    <t>39578520070</t>
  </si>
  <si>
    <t>39571460076</t>
  </si>
  <si>
    <t>39588370870</t>
  </si>
  <si>
    <t>39583980070</t>
  </si>
  <si>
    <t>39572820072</t>
  </si>
  <si>
    <t>39583170070</t>
  </si>
  <si>
    <t>39571460072</t>
  </si>
  <si>
    <t>39583110070</t>
  </si>
  <si>
    <t>39589070073</t>
  </si>
  <si>
    <t>39585300075</t>
  </si>
  <si>
    <t>39587930072</t>
  </si>
  <si>
    <t>39583810070</t>
  </si>
  <si>
    <t>39572760076</t>
  </si>
  <si>
    <t>39588810072</t>
  </si>
  <si>
    <t>39584520070</t>
  </si>
  <si>
    <t>39589250372</t>
  </si>
  <si>
    <t>39587470071</t>
  </si>
  <si>
    <t>39578410074</t>
  </si>
  <si>
    <t>39572810073</t>
  </si>
  <si>
    <t>39572810074</t>
  </si>
  <si>
    <t>39572490070</t>
  </si>
  <si>
    <t>39572760073</t>
  </si>
  <si>
    <t>39589290670</t>
  </si>
  <si>
    <t>39588810071</t>
  </si>
  <si>
    <t>39572760074</t>
  </si>
  <si>
    <t>39570270070</t>
  </si>
  <si>
    <t>39588840073</t>
  </si>
  <si>
    <t>39588830071</t>
  </si>
  <si>
    <t>39578340373</t>
  </si>
  <si>
    <t>39572860070</t>
  </si>
  <si>
    <t>39572400070</t>
  </si>
  <si>
    <t>39571570070</t>
  </si>
  <si>
    <t>39572510071</t>
  </si>
  <si>
    <t>39583350070</t>
  </si>
  <si>
    <t>39584050071</t>
  </si>
  <si>
    <t>39589250371</t>
  </si>
  <si>
    <t>39578200870</t>
  </si>
  <si>
    <t>39571400070</t>
  </si>
  <si>
    <t>39588200070</t>
  </si>
  <si>
    <t>39588400070</t>
  </si>
  <si>
    <t>39580300070</t>
  </si>
  <si>
    <t>39577200081</t>
  </si>
  <si>
    <t>39584050070</t>
  </si>
  <si>
    <t>39583510870</t>
  </si>
  <si>
    <t>39516100080</t>
  </si>
  <si>
    <t>39516100078</t>
  </si>
  <si>
    <t>39571250072</t>
  </si>
  <si>
    <t>39581100272</t>
  </si>
  <si>
    <t>39581100271</t>
  </si>
  <si>
    <t>39515500479</t>
  </si>
  <si>
    <t>39589960115</t>
  </si>
  <si>
    <t>39589960113</t>
  </si>
  <si>
    <t>39515350773</t>
  </si>
  <si>
    <t>39578310670</t>
  </si>
  <si>
    <t>39571250070</t>
  </si>
  <si>
    <t>39581600076</t>
  </si>
  <si>
    <t>39581100275</t>
  </si>
  <si>
    <t>39581100273</t>
  </si>
  <si>
    <t>39599540072</t>
  </si>
  <si>
    <t>39561450172</t>
  </si>
  <si>
    <t>39570260071</t>
  </si>
  <si>
    <t>39578990372</t>
  </si>
  <si>
    <t>39588000071</t>
  </si>
  <si>
    <t>39588900074</t>
  </si>
  <si>
    <t>39588570071</t>
  </si>
  <si>
    <t>39554000073</t>
  </si>
  <si>
    <t>39583640070</t>
  </si>
  <si>
    <t>39583680070</t>
  </si>
  <si>
    <t>39572290070</t>
  </si>
  <si>
    <t>39516100178</t>
  </si>
  <si>
    <t>39589410571</t>
  </si>
  <si>
    <t>39578640074</t>
  </si>
  <si>
    <t>39578810573</t>
  </si>
  <si>
    <t>39571460075</t>
  </si>
  <si>
    <t>39578680370</t>
  </si>
  <si>
    <t>39572870072</t>
  </si>
  <si>
    <t>39588950014</t>
  </si>
  <si>
    <t>39579940051</t>
  </si>
  <si>
    <t>39589960107</t>
  </si>
  <si>
    <t>39579950263</t>
  </si>
  <si>
    <t>39587580072</t>
  </si>
  <si>
    <t>39579950274</t>
  </si>
  <si>
    <t>39584200272</t>
  </si>
  <si>
    <t>39588900075</t>
  </si>
  <si>
    <t>39588880876</t>
  </si>
  <si>
    <t>39579950276</t>
  </si>
  <si>
    <t>39589950016</t>
  </si>
  <si>
    <t>39589980036</t>
  </si>
  <si>
    <t>39587730072</t>
  </si>
  <si>
    <t>39579960043</t>
  </si>
  <si>
    <t>39588000070</t>
  </si>
  <si>
    <t>39580800770</t>
  </si>
  <si>
    <t>39530800176</t>
  </si>
  <si>
    <t>39589950022</t>
  </si>
  <si>
    <t>39579960089</t>
  </si>
  <si>
    <t>39511980373</t>
  </si>
  <si>
    <t>39587720071</t>
  </si>
  <si>
    <t>39587260070</t>
  </si>
  <si>
    <t>39585100277</t>
  </si>
  <si>
    <t>39516100077</t>
  </si>
  <si>
    <t>39515500477</t>
  </si>
  <si>
    <t>39581800081</t>
  </si>
  <si>
    <t>39589990087</t>
  </si>
  <si>
    <t>39589380070</t>
  </si>
  <si>
    <t>39516100176</t>
  </si>
  <si>
    <t>39586100873</t>
  </si>
  <si>
    <t>39572000070</t>
  </si>
  <si>
    <t>39586100274</t>
  </si>
  <si>
    <t>39515300680</t>
  </si>
  <si>
    <t>39587600071</t>
  </si>
  <si>
    <t>39582200076</t>
  </si>
  <si>
    <t>39571600476</t>
  </si>
  <si>
    <t>39515800473</t>
  </si>
  <si>
    <t>39515800472</t>
  </si>
  <si>
    <t>39580100180</t>
  </si>
  <si>
    <t>39589950024</t>
  </si>
  <si>
    <t>39586500074</t>
  </si>
  <si>
    <t>39515500478</t>
  </si>
  <si>
    <t>39588640070</t>
  </si>
  <si>
    <t>39589190375</t>
  </si>
  <si>
    <t>39515400172</t>
  </si>
  <si>
    <t>39511800075</t>
  </si>
  <si>
    <t>39589490076</t>
  </si>
  <si>
    <t>39580100179</t>
  </si>
  <si>
    <t>39570500073</t>
  </si>
  <si>
    <t>39515500474</t>
  </si>
  <si>
    <t>39585300074</t>
  </si>
  <si>
    <t>39553300273</t>
  </si>
  <si>
    <t>39586200075</t>
  </si>
  <si>
    <t>39517060671</t>
  </si>
  <si>
    <t>39578490374</t>
  </si>
  <si>
    <t>39589440471</t>
  </si>
  <si>
    <t>39570270071</t>
  </si>
  <si>
    <t>39586000074</t>
  </si>
  <si>
    <t>39589080371</t>
  </si>
  <si>
    <t>39578870070</t>
  </si>
  <si>
    <t>39580800261</t>
  </si>
  <si>
    <t>39510002078</t>
  </si>
  <si>
    <t>39579950269</t>
  </si>
  <si>
    <t>39579950267</t>
  </si>
  <si>
    <t>39578460070</t>
  </si>
  <si>
    <t>39554000074</t>
  </si>
  <si>
    <t>39525250373</t>
  </si>
  <si>
    <t>39510092212</t>
  </si>
  <si>
    <t>39584170003</t>
  </si>
  <si>
    <t>39511990008</t>
  </si>
  <si>
    <t>39511990012</t>
  </si>
  <si>
    <t>39553780102</t>
  </si>
  <si>
    <t>39589980063</t>
  </si>
  <si>
    <t>39560850207</t>
  </si>
  <si>
    <t>39564200004</t>
  </si>
  <si>
    <t>39511400013</t>
  </si>
  <si>
    <t>39569990211</t>
  </si>
  <si>
    <t>39592150105</t>
  </si>
  <si>
    <t>39530500502</t>
  </si>
  <si>
    <t>39565260071</t>
  </si>
  <si>
    <t>39554000001</t>
  </si>
  <si>
    <t>39545380272</t>
  </si>
  <si>
    <t>39559920200</t>
  </si>
  <si>
    <t>39540754000</t>
  </si>
  <si>
    <t>39565171600</t>
  </si>
  <si>
    <t>39588220001</t>
  </si>
  <si>
    <t>39588220002</t>
  </si>
  <si>
    <t>39588620000</t>
  </si>
  <si>
    <t>39572500000</t>
  </si>
  <si>
    <t>39572810005</t>
  </si>
  <si>
    <t>39588870306</t>
  </si>
  <si>
    <t>39578460001</t>
  </si>
  <si>
    <t>39584050002</t>
  </si>
  <si>
    <t>39584600000</t>
  </si>
  <si>
    <t>39558910006</t>
  </si>
  <si>
    <t>39553390004</t>
  </si>
  <si>
    <t>39536170000</t>
  </si>
  <si>
    <t>39587830000</t>
  </si>
  <si>
    <t>39536580003</t>
  </si>
  <si>
    <t>39510200010</t>
  </si>
  <si>
    <t>39578810000</t>
  </si>
  <si>
    <t>39557670004</t>
  </si>
  <si>
    <t>39583940003</t>
  </si>
  <si>
    <t>39570400003</t>
  </si>
  <si>
    <t>39578680000</t>
  </si>
  <si>
    <t>39557560003</t>
  </si>
  <si>
    <t>39556880006</t>
  </si>
  <si>
    <t>39589070002</t>
  </si>
  <si>
    <t>39588800506</t>
  </si>
  <si>
    <t>39559780005</t>
  </si>
  <si>
    <t>39557650103</t>
  </si>
  <si>
    <t>39552890005</t>
  </si>
  <si>
    <t>39553770000</t>
  </si>
  <si>
    <t>39578610000</t>
  </si>
  <si>
    <t>39556480005</t>
  </si>
  <si>
    <t>39554060000</t>
  </si>
  <si>
    <t>39583740000</t>
  </si>
  <si>
    <t>39570270002</t>
  </si>
  <si>
    <t>39553960000</t>
  </si>
  <si>
    <t>39578740000</t>
  </si>
  <si>
    <t>39562170103</t>
  </si>
  <si>
    <t>39536780000</t>
  </si>
  <si>
    <t>39578950001</t>
  </si>
  <si>
    <t>39578950000</t>
  </si>
  <si>
    <t>39536420003</t>
  </si>
  <si>
    <t>39589070001</t>
  </si>
  <si>
    <t>39557970103</t>
  </si>
  <si>
    <t>39595470000</t>
  </si>
  <si>
    <t>39578520001</t>
  </si>
  <si>
    <t>39556810003</t>
  </si>
  <si>
    <t>39583860003</t>
  </si>
  <si>
    <t>39583960004</t>
  </si>
  <si>
    <t>39578730302</t>
  </si>
  <si>
    <t>39557210007</t>
  </si>
  <si>
    <t>39589320300</t>
  </si>
  <si>
    <t>39578200000</t>
  </si>
  <si>
    <t>39552690500</t>
  </si>
  <si>
    <t>39554050600</t>
  </si>
  <si>
    <t>39554050700</t>
  </si>
  <si>
    <t>39584130000</t>
  </si>
  <si>
    <t>39578780300</t>
  </si>
  <si>
    <t>39570770000</t>
  </si>
  <si>
    <t>39536720001</t>
  </si>
  <si>
    <t>39536860000</t>
  </si>
  <si>
    <t>39536790003</t>
  </si>
  <si>
    <t>39536770007</t>
  </si>
  <si>
    <t>39536430000</t>
  </si>
  <si>
    <t>39573640000</t>
  </si>
  <si>
    <t>39578260700</t>
  </si>
  <si>
    <t>39572770001</t>
  </si>
  <si>
    <t>39536820000</t>
  </si>
  <si>
    <t>39584020000</t>
  </si>
  <si>
    <t>39578460000</t>
  </si>
  <si>
    <t>39553890000</t>
  </si>
  <si>
    <t>39588850300</t>
  </si>
  <si>
    <t>39578410002</t>
  </si>
  <si>
    <t>39572760005</t>
  </si>
  <si>
    <t>39536320003</t>
  </si>
  <si>
    <t>39550530001</t>
  </si>
  <si>
    <t>39556530001</t>
  </si>
  <si>
    <t>39554050800</t>
  </si>
  <si>
    <t>39578560001</t>
  </si>
  <si>
    <t>39552870003</t>
  </si>
  <si>
    <t>39536720002</t>
  </si>
  <si>
    <t>39536650000</t>
  </si>
  <si>
    <t>39572770002</t>
  </si>
  <si>
    <t>39536140008</t>
  </si>
  <si>
    <t>39550190001</t>
  </si>
  <si>
    <t>39578330001</t>
  </si>
  <si>
    <t>39516400106</t>
  </si>
  <si>
    <t>39557550003</t>
  </si>
  <si>
    <t>39550780030</t>
  </si>
  <si>
    <t>39539960011</t>
  </si>
  <si>
    <t>39516400108</t>
  </si>
  <si>
    <t>39559920706</t>
  </si>
  <si>
    <t>39539970030</t>
  </si>
  <si>
    <t>39553400105</t>
  </si>
  <si>
    <t>39572690002</t>
  </si>
  <si>
    <t>39559921044</t>
  </si>
  <si>
    <t>39559160000</t>
  </si>
  <si>
    <t>39514110001</t>
  </si>
  <si>
    <t>39556260003</t>
  </si>
  <si>
    <t>39556260073</t>
  </si>
  <si>
    <t>39553650003</t>
  </si>
  <si>
    <t>39515500409</t>
  </si>
  <si>
    <t>39559921042</t>
  </si>
  <si>
    <t>39515300504</t>
  </si>
  <si>
    <t>39570260001</t>
  </si>
  <si>
    <t>39578990302</t>
  </si>
  <si>
    <t>39588090000</t>
  </si>
  <si>
    <t>39588000001</t>
  </si>
  <si>
    <t>39587430000</t>
  </si>
  <si>
    <t>39588900004</t>
  </si>
  <si>
    <t>39562170102</t>
  </si>
  <si>
    <t>39558290002</t>
  </si>
  <si>
    <t>39583680000</t>
  </si>
  <si>
    <t>39572290000</t>
  </si>
  <si>
    <t>39578560300</t>
  </si>
  <si>
    <t>39589410501</t>
  </si>
  <si>
    <t>39562180004</t>
  </si>
  <si>
    <t>39562080007</t>
  </si>
  <si>
    <t>39555990002</t>
  </si>
  <si>
    <t>39557250001</t>
  </si>
  <si>
    <t>39569940002</t>
  </si>
  <si>
    <t>39589950015</t>
  </si>
  <si>
    <t>39559960102</t>
  </si>
  <si>
    <t>39556470005</t>
  </si>
  <si>
    <t>39588870302</t>
  </si>
  <si>
    <t>39559900370</t>
  </si>
  <si>
    <t>39557090001</t>
  </si>
  <si>
    <t>39587730002</t>
  </si>
  <si>
    <t>39551750001</t>
  </si>
  <si>
    <t>39559960100</t>
  </si>
  <si>
    <t>39588000000</t>
  </si>
  <si>
    <t>39579940049</t>
  </si>
  <si>
    <t>39539130005</t>
  </si>
  <si>
    <t>39539120000</t>
  </si>
  <si>
    <t>39531400016</t>
  </si>
  <si>
    <t>39554070002</t>
  </si>
  <si>
    <t>39558490206</t>
  </si>
  <si>
    <t>39553400104</t>
  </si>
  <si>
    <t>39553400103</t>
  </si>
  <si>
    <t>39561950002</t>
  </si>
  <si>
    <t>39572200009</t>
  </si>
  <si>
    <t>39576000003</t>
  </si>
  <si>
    <t>39580100003</t>
  </si>
  <si>
    <t>39587260000</t>
  </si>
  <si>
    <t>39589430001</t>
  </si>
  <si>
    <t>39589380000</t>
  </si>
  <si>
    <t>39539910108</t>
  </si>
  <si>
    <t>39539910104</t>
  </si>
  <si>
    <t>39576100008</t>
  </si>
  <si>
    <t>39588640000</t>
  </si>
  <si>
    <t>39569960517</t>
  </si>
  <si>
    <t>39510200215</t>
  </si>
  <si>
    <t>39578490304</t>
  </si>
  <si>
    <t>39589440401</t>
  </si>
  <si>
    <t>39570270001</t>
  </si>
  <si>
    <t>39588290002</t>
  </si>
  <si>
    <t>39578870000</t>
  </si>
  <si>
    <t>39589080301</t>
  </si>
  <si>
    <t>39558490013</t>
  </si>
  <si>
    <t>39586100406</t>
  </si>
  <si>
    <t>39595470300</t>
  </si>
  <si>
    <t>39578810504</t>
  </si>
  <si>
    <t>39576000006</t>
  </si>
  <si>
    <t>39589200604</t>
  </si>
  <si>
    <t>39583980001</t>
  </si>
  <si>
    <t>39578690000</t>
  </si>
  <si>
    <t>39583130000</t>
  </si>
  <si>
    <t>39578230002</t>
  </si>
  <si>
    <t>39578300002</t>
  </si>
  <si>
    <t>39584120002</t>
  </si>
  <si>
    <t>39595450304</t>
  </si>
  <si>
    <t>39572390001</t>
  </si>
  <si>
    <t>39573750001</t>
  </si>
  <si>
    <t>39583100000</t>
  </si>
  <si>
    <t>39584010000</t>
  </si>
  <si>
    <t>39589050304</t>
  </si>
  <si>
    <t>39589240000</t>
  </si>
  <si>
    <t>39589240001</t>
  </si>
  <si>
    <t>39588510000</t>
  </si>
  <si>
    <t>39589240300</t>
  </si>
  <si>
    <t>39578370002</t>
  </si>
  <si>
    <t>39588350000</t>
  </si>
  <si>
    <t>39589070004</t>
  </si>
  <si>
    <t>39588290003</t>
  </si>
  <si>
    <t>39579950279</t>
  </si>
  <si>
    <t>39589190306</t>
  </si>
  <si>
    <t>39571460006</t>
  </si>
  <si>
    <t>39572820002</t>
  </si>
  <si>
    <t>39578660000</t>
  </si>
  <si>
    <t>39578630302</t>
  </si>
  <si>
    <t>39589230500</t>
  </si>
  <si>
    <t>39584260000</t>
  </si>
  <si>
    <t>39589000505</t>
  </si>
  <si>
    <t>39583110000</t>
  </si>
  <si>
    <t>39589200300</t>
  </si>
  <si>
    <t>39595450002</t>
  </si>
  <si>
    <t>39589200001</t>
  </si>
  <si>
    <t>39589070003</t>
  </si>
  <si>
    <t>39585300005</t>
  </si>
  <si>
    <t>39583330001</t>
  </si>
  <si>
    <t>39572760006</t>
  </si>
  <si>
    <t>39588810002</t>
  </si>
  <si>
    <t>39589250302</t>
  </si>
  <si>
    <t>39587470001</t>
  </si>
  <si>
    <t>39583470500</t>
  </si>
  <si>
    <t>39588810001</t>
  </si>
  <si>
    <t>39588840003</t>
  </si>
  <si>
    <t>39572810006</t>
  </si>
  <si>
    <t>39572810007</t>
  </si>
  <si>
    <t>39588830001</t>
  </si>
  <si>
    <t>39589310001</t>
  </si>
  <si>
    <t>39589310300</t>
  </si>
  <si>
    <t>39589260000</t>
  </si>
  <si>
    <t>39589210000</t>
  </si>
  <si>
    <t>39572400000</t>
  </si>
  <si>
    <t>39578610002</t>
  </si>
  <si>
    <t>39572390606</t>
  </si>
  <si>
    <t>39572510001</t>
  </si>
  <si>
    <t>39589440104</t>
  </si>
  <si>
    <t>39589160002</t>
  </si>
  <si>
    <t>39570760102</t>
  </si>
  <si>
    <t>39559910261</t>
  </si>
  <si>
    <t>39580500002</t>
  </si>
  <si>
    <t>39587400003</t>
  </si>
  <si>
    <t>39599540002</t>
  </si>
  <si>
    <t>39584570001</t>
  </si>
  <si>
    <t>39578960502</t>
  </si>
  <si>
    <t>39595450303</t>
  </si>
  <si>
    <t>39589100308</t>
  </si>
  <si>
    <t>39515800002</t>
  </si>
  <si>
    <t>39588570001</t>
  </si>
  <si>
    <t>39584180000</t>
  </si>
  <si>
    <t>39573560002</t>
  </si>
  <si>
    <t>39587710001</t>
  </si>
  <si>
    <t>39583640000</t>
  </si>
  <si>
    <t>39578220700</t>
  </si>
  <si>
    <t>39583490001</t>
  </si>
  <si>
    <t>39589190000</t>
  </si>
  <si>
    <t>39583510708</t>
  </si>
  <si>
    <t>39516100108</t>
  </si>
  <si>
    <t>39589410503</t>
  </si>
  <si>
    <t>39571460005</t>
  </si>
  <si>
    <t>39578680300</t>
  </si>
  <si>
    <t>39588500001</t>
  </si>
  <si>
    <t>39572870002</t>
  </si>
  <si>
    <t>39588550000</t>
  </si>
  <si>
    <t>39584200202</t>
  </si>
  <si>
    <t>39583830102</t>
  </si>
  <si>
    <t>39588900005</t>
  </si>
  <si>
    <t>39587580006</t>
  </si>
  <si>
    <t>39583830101</t>
  </si>
  <si>
    <t>39589980061</t>
  </si>
  <si>
    <t>39583590000</t>
  </si>
  <si>
    <t>39579950285</t>
  </si>
  <si>
    <t>39587580005</t>
  </si>
  <si>
    <t>39589960128</t>
  </si>
  <si>
    <t>39583830100</t>
  </si>
  <si>
    <t>39578800003</t>
  </si>
  <si>
    <t>39578570501</t>
  </si>
  <si>
    <t>39589990090</t>
  </si>
  <si>
    <t>39589400024</t>
  </si>
  <si>
    <t>39589950021</t>
  </si>
  <si>
    <t>39587720001</t>
  </si>
  <si>
    <t>39589950029</t>
  </si>
  <si>
    <t>39589990086</t>
  </si>
  <si>
    <t>39589950019</t>
  </si>
  <si>
    <t>39579010302</t>
  </si>
  <si>
    <t>39589950027</t>
  </si>
  <si>
    <t>39576100009</t>
  </si>
  <si>
    <t>39589950017</t>
  </si>
  <si>
    <t>39511800104</t>
  </si>
  <si>
    <t>39589950023</t>
  </si>
  <si>
    <t>39585300004</t>
  </si>
  <si>
    <t>39589390808</t>
  </si>
  <si>
    <t>39589410701</t>
  </si>
  <si>
    <t>39579950292</t>
  </si>
  <si>
    <t>39589970047</t>
  </si>
  <si>
    <t>39589960120</t>
  </si>
  <si>
    <t>39578200800</t>
  </si>
  <si>
    <t>39559910780</t>
  </si>
  <si>
    <t>39555720003</t>
  </si>
  <si>
    <t>39555560400</t>
  </si>
  <si>
    <t>39559910782</t>
  </si>
  <si>
    <t>39559910279</t>
  </si>
  <si>
    <t>39562170001</t>
  </si>
  <si>
    <t>39559900372</t>
  </si>
  <si>
    <t>39579960088</t>
  </si>
  <si>
    <t>39578230000</t>
  </si>
  <si>
    <t>39578640004</t>
  </si>
  <si>
    <t>39579950273</t>
  </si>
  <si>
    <t>39579950275</t>
  </si>
  <si>
    <t>39559921100</t>
  </si>
  <si>
    <t>39569360200</t>
  </si>
  <si>
    <t>39568980302</t>
  </si>
  <si>
    <t>39566630003</t>
  </si>
  <si>
    <t>39598550000</t>
  </si>
  <si>
    <t>39569991304</t>
  </si>
  <si>
    <t>39566590201</t>
  </si>
  <si>
    <t>39566850401</t>
  </si>
  <si>
    <t>39569951111</t>
  </si>
  <si>
    <t>39561070300</t>
  </si>
  <si>
    <t>39598830000</t>
  </si>
  <si>
    <t>39599580001</t>
  </si>
  <si>
    <t>39566680000</t>
  </si>
  <si>
    <t>39598720001</t>
  </si>
  <si>
    <t>39598740000</t>
  </si>
  <si>
    <t>39569340603</t>
  </si>
  <si>
    <t>39593600203</t>
  </si>
  <si>
    <t>39565360304</t>
  </si>
  <si>
    <t>39568340100</t>
  </si>
  <si>
    <t>39598770000</t>
  </si>
  <si>
    <t>39569991303</t>
  </si>
  <si>
    <t>39569950701</t>
  </si>
  <si>
    <t>39569981301</t>
  </si>
  <si>
    <t>39569990016</t>
  </si>
  <si>
    <t>39569420102</t>
  </si>
  <si>
    <t>39569981303</t>
  </si>
  <si>
    <t>39566690000</t>
  </si>
  <si>
    <t>39569250100</t>
  </si>
  <si>
    <t>39594810004</t>
  </si>
  <si>
    <t>39594780301</t>
  </si>
  <si>
    <t>39566530002</t>
  </si>
  <si>
    <t>39595310300</t>
  </si>
  <si>
    <t>39566790200</t>
  </si>
  <si>
    <t>39587000000</t>
  </si>
  <si>
    <t>39565360303</t>
  </si>
  <si>
    <t>39598760001</t>
  </si>
  <si>
    <t>39569981401</t>
  </si>
  <si>
    <t>39539910300</t>
  </si>
  <si>
    <t>39535760102</t>
  </si>
  <si>
    <t>39539080104</t>
  </si>
  <si>
    <t>39589970024</t>
  </si>
  <si>
    <t>39589460000</t>
  </si>
  <si>
    <t>39578550000</t>
  </si>
  <si>
    <t>39584120001</t>
  </si>
  <si>
    <t>39589410502</t>
  </si>
  <si>
    <t>39589380001</t>
  </si>
  <si>
    <t>39588830002</t>
  </si>
  <si>
    <t>39589990088</t>
  </si>
  <si>
    <t>39589200000</t>
  </si>
  <si>
    <t>39580800005</t>
  </si>
  <si>
    <t>39580800003</t>
  </si>
  <si>
    <t>39562170007</t>
  </si>
  <si>
    <t>39510500109</t>
  </si>
  <si>
    <t>39557420002</t>
  </si>
  <si>
    <t>39550900000</t>
  </si>
  <si>
    <t>39556590004</t>
  </si>
  <si>
    <t>39557570004</t>
  </si>
  <si>
    <t>39578400303</t>
  </si>
  <si>
    <t>39556290006</t>
  </si>
  <si>
    <t>39556910009</t>
  </si>
  <si>
    <t>39557570003</t>
  </si>
  <si>
    <t>39553780004</t>
  </si>
  <si>
    <t>39553980000</t>
  </si>
  <si>
    <t>39570050001</t>
  </si>
  <si>
    <t>39553780002</t>
  </si>
  <si>
    <t>39556290007</t>
  </si>
  <si>
    <t>39557380004</t>
  </si>
  <si>
    <t>39556870004</t>
  </si>
  <si>
    <t>39554790000</t>
  </si>
  <si>
    <t>39553850000</t>
  </si>
  <si>
    <t>39552890004</t>
  </si>
  <si>
    <t>39556460007</t>
  </si>
  <si>
    <t>39555190000</t>
  </si>
  <si>
    <t>39529845100</t>
  </si>
  <si>
    <t>39559780004</t>
  </si>
  <si>
    <t>39562170002</t>
  </si>
  <si>
    <t>39536360002</t>
  </si>
  <si>
    <t>39558990002</t>
  </si>
  <si>
    <t>39553780003</t>
  </si>
  <si>
    <t>39536250003</t>
  </si>
  <si>
    <t>39536790004</t>
  </si>
  <si>
    <t>39556460006</t>
  </si>
  <si>
    <t>39536340005</t>
  </si>
  <si>
    <t>39558440004</t>
  </si>
  <si>
    <t>39550180002</t>
  </si>
  <si>
    <t>39556950003</t>
  </si>
  <si>
    <t>39556550004</t>
  </si>
  <si>
    <t>39560400005</t>
  </si>
  <si>
    <t>39556750003</t>
  </si>
  <si>
    <t>39553220001</t>
  </si>
  <si>
    <t>39558550003</t>
  </si>
  <si>
    <t>39553850001</t>
  </si>
  <si>
    <t>39551160001</t>
  </si>
  <si>
    <t>39559620000</t>
  </si>
  <si>
    <t>39557210005</t>
  </si>
  <si>
    <t>39536220008</t>
  </si>
  <si>
    <t>39573230001</t>
  </si>
  <si>
    <t>39559940100</t>
  </si>
  <si>
    <t>39557860004</t>
  </si>
  <si>
    <t>39550250002</t>
  </si>
  <si>
    <t>39557380005</t>
  </si>
  <si>
    <t>39557170001</t>
  </si>
  <si>
    <t>39572690001</t>
  </si>
  <si>
    <t>39573820001</t>
  </si>
  <si>
    <t>39573870002</t>
  </si>
  <si>
    <t>39587930003</t>
  </si>
  <si>
    <t>39553340000</t>
  </si>
  <si>
    <t>39578500001</t>
  </si>
  <si>
    <t>39551270003</t>
  </si>
  <si>
    <t>39551270004</t>
  </si>
  <si>
    <t>39558480001</t>
  </si>
  <si>
    <t>39578790304</t>
  </si>
  <si>
    <t>39559921003</t>
  </si>
  <si>
    <t>39558530003</t>
  </si>
  <si>
    <t>39557250002</t>
  </si>
  <si>
    <t>39559930107</t>
  </si>
  <si>
    <t>39557880006</t>
  </si>
  <si>
    <t>39554050000</t>
  </si>
  <si>
    <t>39554760000</t>
  </si>
  <si>
    <t>39578390301</t>
  </si>
  <si>
    <t>39578390000</t>
  </si>
  <si>
    <t>39558920003</t>
  </si>
  <si>
    <t>39556690005</t>
  </si>
  <si>
    <t>39559760006</t>
  </si>
  <si>
    <t>39583860002</t>
  </si>
  <si>
    <t>39554780000</t>
  </si>
  <si>
    <t>39588570000</t>
  </si>
  <si>
    <t>39536210008</t>
  </si>
  <si>
    <t>39554320002</t>
  </si>
  <si>
    <t>39567230003</t>
  </si>
  <si>
    <t>39562150003</t>
  </si>
  <si>
    <t>39558440005</t>
  </si>
  <si>
    <t>39559320004</t>
  </si>
  <si>
    <t>39554780007</t>
  </si>
  <si>
    <t>39553170002</t>
  </si>
  <si>
    <t>39569920005</t>
  </si>
  <si>
    <t>39557670003</t>
  </si>
  <si>
    <t>39552640001</t>
  </si>
  <si>
    <t>39586800004</t>
  </si>
  <si>
    <t>39579000000</t>
  </si>
  <si>
    <t>39585600103</t>
  </si>
  <si>
    <t>39580400104</t>
  </si>
  <si>
    <t>39515300105</t>
  </si>
  <si>
    <t>39583330000</t>
  </si>
  <si>
    <t>39578340000</t>
  </si>
  <si>
    <t>39584150000</t>
  </si>
  <si>
    <t>39587730003</t>
  </si>
  <si>
    <t>39583280000</t>
  </si>
  <si>
    <t>39583960003</t>
  </si>
  <si>
    <t>39588370800</t>
  </si>
  <si>
    <t>39583170000</t>
  </si>
  <si>
    <t>39571460002</t>
  </si>
  <si>
    <t>39583810000</t>
  </si>
  <si>
    <t>39572830000</t>
  </si>
  <si>
    <t>39584520000</t>
  </si>
  <si>
    <t>39572810003</t>
  </si>
  <si>
    <t>39572810004</t>
  </si>
  <si>
    <t>39572760003</t>
  </si>
  <si>
    <t>39572760004</t>
  </si>
  <si>
    <t>39578340302</t>
  </si>
  <si>
    <t>39578340303</t>
  </si>
  <si>
    <t>39583350000</t>
  </si>
  <si>
    <t>39589250301</t>
  </si>
  <si>
    <t>39555900503</t>
  </si>
  <si>
    <t>39559880113</t>
  </si>
  <si>
    <t>39559921134</t>
  </si>
  <si>
    <t>39589440402</t>
  </si>
  <si>
    <t>39552200404</t>
  </si>
  <si>
    <t>39516400104</t>
  </si>
  <si>
    <t>39559900133</t>
  </si>
  <si>
    <t>39516600337</t>
  </si>
  <si>
    <t>39569991404</t>
  </si>
  <si>
    <t>39593300100</t>
  </si>
  <si>
    <t>39578620302</t>
  </si>
  <si>
    <t>39588840002</t>
  </si>
  <si>
    <t>39578610001</t>
  </si>
  <si>
    <t>39578370001</t>
  </si>
  <si>
    <t>39559860003</t>
  </si>
  <si>
    <t>39556250005</t>
  </si>
  <si>
    <t>39557860000</t>
  </si>
  <si>
    <t>39556950004</t>
  </si>
  <si>
    <t>39536330001</t>
  </si>
  <si>
    <t>39558270001</t>
  </si>
  <si>
    <t>39558890003</t>
  </si>
  <si>
    <t>39556550003</t>
  </si>
  <si>
    <t>39559580002</t>
  </si>
  <si>
    <t>39556780004</t>
  </si>
  <si>
    <t>39556180003</t>
  </si>
  <si>
    <t>39552640000</t>
  </si>
  <si>
    <t>39558890004</t>
  </si>
  <si>
    <t>39558890005</t>
  </si>
  <si>
    <t>39539960009</t>
  </si>
  <si>
    <t>39598350500</t>
  </si>
  <si>
    <t>39537380901</t>
  </si>
  <si>
    <t>39568710000</t>
  </si>
  <si>
    <t>39598350001</t>
  </si>
  <si>
    <t>39578630002</t>
  </si>
  <si>
    <t>39592360372</t>
  </si>
  <si>
    <t>39590680000</t>
  </si>
  <si>
    <t>39543860000</t>
  </si>
  <si>
    <t>39590260000</t>
  </si>
  <si>
    <t>39598740010</t>
  </si>
  <si>
    <t>39515901902</t>
  </si>
  <si>
    <t>39593510000</t>
  </si>
  <si>
    <t>39593241203</t>
  </si>
  <si>
    <t>39594930000</t>
  </si>
  <si>
    <t>39598130201</t>
  </si>
  <si>
    <t>39594540000</t>
  </si>
  <si>
    <t>39595090200</t>
  </si>
  <si>
    <t>39569951201</t>
  </si>
  <si>
    <t>39563800100</t>
  </si>
  <si>
    <t>39598950000</t>
  </si>
  <si>
    <t>39515901803</t>
  </si>
  <si>
    <t>39563800639</t>
  </si>
  <si>
    <t>39515250030</t>
  </si>
  <si>
    <t>39563800607</t>
  </si>
  <si>
    <t>39594730000</t>
  </si>
  <si>
    <t>39562800001</t>
  </si>
  <si>
    <t>39569991813</t>
  </si>
  <si>
    <t>39594730001</t>
  </si>
  <si>
    <t>39561400401</t>
  </si>
  <si>
    <t>39591802304</t>
  </si>
  <si>
    <t>39569990210</t>
  </si>
  <si>
    <t>39569990313</t>
  </si>
  <si>
    <t>39563900009</t>
  </si>
  <si>
    <t>39561400400</t>
  </si>
  <si>
    <t>39563800608</t>
  </si>
  <si>
    <t>39569990001</t>
  </si>
  <si>
    <t>39592580572</t>
  </si>
  <si>
    <t>39594640003</t>
  </si>
  <si>
    <t>39562100004</t>
  </si>
  <si>
    <t>39565400103</t>
  </si>
  <si>
    <t>39592150104</t>
  </si>
  <si>
    <t>39569980801</t>
  </si>
  <si>
    <t>39598350600</t>
  </si>
  <si>
    <t>39569990314</t>
  </si>
  <si>
    <t>39591802303</t>
  </si>
  <si>
    <t>39543900173</t>
  </si>
  <si>
    <t>39566940401</t>
  </si>
  <si>
    <t>39598350303</t>
  </si>
  <si>
    <t>39569970500</t>
  </si>
  <si>
    <t>39598220000</t>
  </si>
  <si>
    <t>39595130100</t>
  </si>
  <si>
    <t>39569951103</t>
  </si>
  <si>
    <t>39569951104</t>
  </si>
  <si>
    <t>39568370001</t>
  </si>
  <si>
    <t>39569951202</t>
  </si>
  <si>
    <t>39592950000</t>
  </si>
  <si>
    <t>39568080300</t>
  </si>
  <si>
    <t>39569980301</t>
  </si>
  <si>
    <t>39596600104</t>
  </si>
  <si>
    <t>39599950572</t>
  </si>
  <si>
    <t>39541004300</t>
  </si>
  <si>
    <t>39566660301</t>
  </si>
  <si>
    <t>39598940002</t>
  </si>
  <si>
    <t>39567920000</t>
  </si>
  <si>
    <t>39598760000</t>
  </si>
  <si>
    <t>39594920000</t>
  </si>
  <si>
    <t>39594920001</t>
  </si>
  <si>
    <t>39566520100</t>
  </si>
  <si>
    <t>39598590000</t>
  </si>
  <si>
    <t>39598460000</t>
  </si>
  <si>
    <t>39594790004</t>
  </si>
  <si>
    <t>39594260000</t>
  </si>
  <si>
    <t>39598330302</t>
  </si>
  <si>
    <t>39566650500</t>
  </si>
  <si>
    <t>39569670008</t>
  </si>
  <si>
    <t>39566730202</t>
  </si>
  <si>
    <t>39599130000</t>
  </si>
  <si>
    <t>39566780200</t>
  </si>
  <si>
    <t>39569670007</t>
  </si>
  <si>
    <t>39566850302</t>
  </si>
  <si>
    <t>39569450001</t>
  </si>
  <si>
    <t>39594710000</t>
  </si>
  <si>
    <t>39598490000</t>
  </si>
  <si>
    <t>39566520300</t>
  </si>
  <si>
    <t>39567770000</t>
  </si>
  <si>
    <t>39598920401</t>
  </si>
  <si>
    <t>39598770301</t>
  </si>
  <si>
    <t>39587240401</t>
  </si>
  <si>
    <t>39563750101</t>
  </si>
  <si>
    <t>39569870200</t>
  </si>
  <si>
    <t>39568320602</t>
  </si>
  <si>
    <t>39566670100</t>
  </si>
  <si>
    <t>39567390000</t>
  </si>
  <si>
    <t>39593940000</t>
  </si>
  <si>
    <t>39561070000</t>
  </si>
  <si>
    <t>39569520100</t>
  </si>
  <si>
    <t>39561250201</t>
  </si>
  <si>
    <t>39594490000</t>
  </si>
  <si>
    <t>39598090000</t>
  </si>
  <si>
    <t>39598090001</t>
  </si>
  <si>
    <t>39593020000</t>
  </si>
  <si>
    <t>39594770000</t>
  </si>
  <si>
    <t>39598540000</t>
  </si>
  <si>
    <t>39592930000</t>
  </si>
  <si>
    <t>39592930001</t>
  </si>
  <si>
    <t>39569100200</t>
  </si>
  <si>
    <t>39593710000</t>
  </si>
  <si>
    <t>39566260100</t>
  </si>
  <si>
    <t>39566710100</t>
  </si>
  <si>
    <t>39595140000</t>
  </si>
  <si>
    <t>39599580200</t>
  </si>
  <si>
    <t>39561070001</t>
  </si>
  <si>
    <t>39568440102</t>
  </si>
  <si>
    <t>39568990002</t>
  </si>
  <si>
    <t>39568860202</t>
  </si>
  <si>
    <t>39568870101</t>
  </si>
  <si>
    <t>39566720101</t>
  </si>
  <si>
    <t>39566720100</t>
  </si>
  <si>
    <t>39594230000</t>
  </si>
  <si>
    <t>39598450600</t>
  </si>
  <si>
    <t>39569520101</t>
  </si>
  <si>
    <t>39594510000</t>
  </si>
  <si>
    <t>39594710403</t>
  </si>
  <si>
    <t>39595170402</t>
  </si>
  <si>
    <t>39594790005</t>
  </si>
  <si>
    <t>39598260000</t>
  </si>
  <si>
    <t>39569110002</t>
  </si>
  <si>
    <t>39599971601</t>
  </si>
  <si>
    <t>39516200331</t>
  </si>
  <si>
    <t>39516021102</t>
  </si>
  <si>
    <t>39598770002</t>
  </si>
  <si>
    <t>39598770003</t>
  </si>
  <si>
    <t>39562800002</t>
  </si>
  <si>
    <t>39590001201</t>
  </si>
  <si>
    <t>39569990319</t>
  </si>
  <si>
    <t>39516021103</t>
  </si>
  <si>
    <t>39569991702</t>
  </si>
  <si>
    <t>39590001005</t>
  </si>
  <si>
    <t>39598920702</t>
  </si>
  <si>
    <t>39593050001</t>
  </si>
  <si>
    <t>39516200306</t>
  </si>
  <si>
    <t>39589390308</t>
  </si>
  <si>
    <t>39594390200</t>
  </si>
  <si>
    <t>39594880200</t>
  </si>
  <si>
    <t>39569991115</t>
  </si>
  <si>
    <t>39553500202</t>
  </si>
  <si>
    <t>39516410304</t>
  </si>
  <si>
    <t>39559920718</t>
  </si>
  <si>
    <t>39598350201</t>
  </si>
  <si>
    <t>39569991701</t>
  </si>
  <si>
    <t>39510094571</t>
  </si>
  <si>
    <t>39598130200</t>
  </si>
  <si>
    <t>39510094471</t>
  </si>
  <si>
    <t>39579950266</t>
  </si>
  <si>
    <t>39589400016</t>
  </si>
  <si>
    <t>39511800101</t>
  </si>
  <si>
    <t>39589390806</t>
  </si>
  <si>
    <t>39580600000</t>
  </si>
  <si>
    <t>39581420000</t>
  </si>
  <si>
    <t>39568080200</t>
  </si>
  <si>
    <t>39554950000</t>
  </si>
  <si>
    <t>39585600104</t>
  </si>
  <si>
    <t>39578310600</t>
  </si>
  <si>
    <t>39581600006</t>
  </si>
  <si>
    <t>39553500203</t>
  </si>
  <si>
    <t>39510094403</t>
  </si>
  <si>
    <t>39559910518</t>
  </si>
  <si>
    <t>39551070006</t>
  </si>
  <si>
    <t>39539960015</t>
  </si>
  <si>
    <t>39555160000</t>
  </si>
  <si>
    <t>39556660009</t>
  </si>
  <si>
    <t>39572690003</t>
  </si>
  <si>
    <t>39539970304</t>
  </si>
  <si>
    <t>39551650000</t>
  </si>
  <si>
    <t>39559920204</t>
  </si>
  <si>
    <t>39554070001</t>
  </si>
  <si>
    <t>39559910786</t>
  </si>
  <si>
    <t>39572690300</t>
  </si>
  <si>
    <t>39516400003</t>
  </si>
  <si>
    <t>39557700006</t>
  </si>
  <si>
    <t>39536380005</t>
  </si>
  <si>
    <t>39569920010</t>
  </si>
  <si>
    <t>39559920201</t>
  </si>
  <si>
    <t>39558870004</t>
  </si>
  <si>
    <t>39557220003</t>
  </si>
  <si>
    <t>39535840000</t>
  </si>
  <si>
    <t>39559050000</t>
  </si>
  <si>
    <t>39539250000</t>
  </si>
  <si>
    <t>39539080000</t>
  </si>
  <si>
    <t>39559750001</t>
  </si>
  <si>
    <t>39559910267</t>
  </si>
  <si>
    <t>39538980003</t>
  </si>
  <si>
    <t>39539070000</t>
  </si>
  <si>
    <t>39538980002</t>
  </si>
  <si>
    <t>39559630002</t>
  </si>
  <si>
    <t>39558170001</t>
  </si>
  <si>
    <t>39556780003</t>
  </si>
  <si>
    <t>39538100001</t>
  </si>
  <si>
    <t>39553250003</t>
  </si>
  <si>
    <t>39539260000</t>
  </si>
  <si>
    <t>39538140000</t>
  </si>
  <si>
    <t>39571170002</t>
  </si>
  <si>
    <t>39554150001</t>
  </si>
  <si>
    <t>39553390002</t>
  </si>
  <si>
    <t>39553280000</t>
  </si>
  <si>
    <t>39550170000</t>
  </si>
  <si>
    <t>39553250002</t>
  </si>
  <si>
    <t>39553360003</t>
  </si>
  <si>
    <t>39559760005</t>
  </si>
  <si>
    <t>39538040005</t>
  </si>
  <si>
    <t>39556770008</t>
  </si>
  <si>
    <t>39538130000</t>
  </si>
  <si>
    <t>39553290000</t>
  </si>
  <si>
    <t>39558350000</t>
  </si>
  <si>
    <t>39551650003</t>
  </si>
  <si>
    <t>39554360007</t>
  </si>
  <si>
    <t>39550960000</t>
  </si>
  <si>
    <t>39553460001</t>
  </si>
  <si>
    <t>39572720002</t>
  </si>
  <si>
    <t>39550790000</t>
  </si>
  <si>
    <t>39573230002</t>
  </si>
  <si>
    <t>39551260004</t>
  </si>
  <si>
    <t>39557210006</t>
  </si>
  <si>
    <t>39554080000</t>
  </si>
  <si>
    <t>39551660002</t>
  </si>
  <si>
    <t>39551650002</t>
  </si>
  <si>
    <t>39539340005</t>
  </si>
  <si>
    <t>39550570002</t>
  </si>
  <si>
    <t>39559910750</t>
  </si>
  <si>
    <t>39539960100</t>
  </si>
  <si>
    <t>39559900402</t>
  </si>
  <si>
    <t>39559900502</t>
  </si>
  <si>
    <t>39559900039</t>
  </si>
  <si>
    <t>39559930015</t>
  </si>
  <si>
    <t>39559900041</t>
  </si>
  <si>
    <t>39559900501</t>
  </si>
  <si>
    <t>39559890302</t>
  </si>
  <si>
    <t>39557550004</t>
  </si>
  <si>
    <t>39562180008</t>
  </si>
  <si>
    <t>39530600003</t>
  </si>
  <si>
    <t>39559910810</t>
  </si>
  <si>
    <t>39536580002</t>
  </si>
  <si>
    <t>39558520006</t>
  </si>
  <si>
    <t>39558080006</t>
  </si>
  <si>
    <t>39558090003</t>
  </si>
  <si>
    <t>39569950019</t>
  </si>
  <si>
    <t>39558090004</t>
  </si>
  <si>
    <t>39553160001</t>
  </si>
  <si>
    <t>39556790008</t>
  </si>
  <si>
    <t>39559910277</t>
  </si>
  <si>
    <t>39559910812</t>
  </si>
  <si>
    <t>39558980003</t>
  </si>
  <si>
    <t>39569920020</t>
  </si>
  <si>
    <t>39556270000</t>
  </si>
  <si>
    <t>39559890013</t>
  </si>
  <si>
    <t>39539960030</t>
  </si>
  <si>
    <t>39559910205</t>
  </si>
  <si>
    <t>39557980100</t>
  </si>
  <si>
    <t>39559910030</t>
  </si>
  <si>
    <t>39559950401</t>
  </si>
  <si>
    <t>39550690070</t>
  </si>
  <si>
    <t>39550690000</t>
  </si>
  <si>
    <t>39556500002</t>
  </si>
  <si>
    <t>39559921161</t>
  </si>
  <si>
    <t>39556520001</t>
  </si>
  <si>
    <t>39559890310</t>
  </si>
  <si>
    <t>39539960220</t>
  </si>
  <si>
    <t>39536200010</t>
  </si>
  <si>
    <t>39553350000</t>
  </si>
  <si>
    <t>39539390000</t>
  </si>
  <si>
    <t>39559080004</t>
  </si>
  <si>
    <t>39553390003</t>
  </si>
  <si>
    <t>39563160000</t>
  </si>
  <si>
    <t>39559921136</t>
  </si>
  <si>
    <t>39563380002</t>
  </si>
  <si>
    <t>39555150001</t>
  </si>
  <si>
    <t>39557980104</t>
  </si>
  <si>
    <t>39559890030</t>
  </si>
  <si>
    <t>39536260003</t>
  </si>
  <si>
    <t>39559890023</t>
  </si>
  <si>
    <t>39562180003</t>
  </si>
  <si>
    <t>39559100002</t>
  </si>
  <si>
    <t>39552340002</t>
  </si>
  <si>
    <t>39556090000</t>
  </si>
  <si>
    <t>39561760000</t>
  </si>
  <si>
    <t>39559540000</t>
  </si>
  <si>
    <t>39559910777</t>
  </si>
  <si>
    <t>39559910784</t>
  </si>
  <si>
    <t>39552070069</t>
  </si>
  <si>
    <t>39559900140</t>
  </si>
  <si>
    <t>39539970015</t>
  </si>
  <si>
    <t>39550050001</t>
  </si>
  <si>
    <t>39551260002</t>
  </si>
  <si>
    <t>39539960222</t>
  </si>
  <si>
    <t>39559910760</t>
  </si>
  <si>
    <t>39559900080</t>
  </si>
  <si>
    <t>39569950404</t>
  </si>
  <si>
    <t>39553470000</t>
  </si>
  <si>
    <t>39550010001</t>
  </si>
  <si>
    <t>39554360006</t>
  </si>
  <si>
    <t>39536280000</t>
  </si>
  <si>
    <t>39554190601</t>
  </si>
  <si>
    <t>39557550014</t>
  </si>
  <si>
    <t>39539970109</t>
  </si>
  <si>
    <t>39579980005</t>
  </si>
  <si>
    <t>39536380008</t>
  </si>
  <si>
    <t>39556850004</t>
  </si>
  <si>
    <t>39550870000</t>
  </si>
  <si>
    <t>39573730004</t>
  </si>
  <si>
    <t>39555780001</t>
  </si>
  <si>
    <t>39570490000</t>
  </si>
  <si>
    <t>39573230000</t>
  </si>
  <si>
    <t>39557990004</t>
  </si>
  <si>
    <t>39553190000</t>
  </si>
  <si>
    <t>39559921048</t>
  </si>
  <si>
    <t>39559960012</t>
  </si>
  <si>
    <t>39550570000</t>
  </si>
  <si>
    <t>39551260003</t>
  </si>
  <si>
    <t>39571020000</t>
  </si>
  <si>
    <t>39539970012</t>
  </si>
  <si>
    <t>39559980000</t>
  </si>
  <si>
    <t>39559921110</t>
  </si>
  <si>
    <t>39556270001</t>
  </si>
  <si>
    <t>39559921115</t>
  </si>
  <si>
    <t>39559921120</t>
  </si>
  <si>
    <t>39552950001</t>
  </si>
  <si>
    <t>39555270000</t>
  </si>
  <si>
    <t>39559921073</t>
  </si>
  <si>
    <t>39559910767</t>
  </si>
  <si>
    <t>39554360005</t>
  </si>
  <si>
    <t>39559900240</t>
  </si>
  <si>
    <t>39536380010</t>
  </si>
  <si>
    <t>39555370000</t>
  </si>
  <si>
    <t>39539960034</t>
  </si>
  <si>
    <t>39559210006</t>
  </si>
  <si>
    <t>39556580006</t>
  </si>
  <si>
    <t>39559921112</t>
  </si>
  <si>
    <t>39559921019</t>
  </si>
  <si>
    <t>39557550012</t>
  </si>
  <si>
    <t>39556150006</t>
  </si>
  <si>
    <t>39559940001</t>
  </si>
  <si>
    <t>39559921046</t>
  </si>
  <si>
    <t>39539910205</t>
  </si>
  <si>
    <t>39569920012</t>
  </si>
  <si>
    <t>39569920014</t>
  </si>
  <si>
    <t>39569920016</t>
  </si>
  <si>
    <t>39535850000</t>
  </si>
  <si>
    <t>39559910025</t>
  </si>
  <si>
    <t>39559910021</t>
  </si>
  <si>
    <t>39539970008</t>
  </si>
  <si>
    <t>39553780007</t>
  </si>
  <si>
    <t>39559910270</t>
  </si>
  <si>
    <t>39550020001</t>
  </si>
  <si>
    <t>39559910281</t>
  </si>
  <si>
    <t>39510090735</t>
  </si>
  <si>
    <t>39510090734</t>
  </si>
  <si>
    <t>39549850500</t>
  </si>
  <si>
    <t>39598350400</t>
  </si>
  <si>
    <t>39567670201</t>
  </si>
  <si>
    <t>39568380000</t>
  </si>
  <si>
    <t>39578810503</t>
  </si>
  <si>
    <t>39578230703</t>
  </si>
  <si>
    <t>39559970040</t>
  </si>
  <si>
    <t>39573730000</t>
  </si>
  <si>
    <t>39589960106</t>
  </si>
  <si>
    <t>39569980504</t>
  </si>
  <si>
    <t>39579950264</t>
  </si>
  <si>
    <t>39579950262</t>
  </si>
  <si>
    <t>39569990209</t>
  </si>
  <si>
    <t>39569970400</t>
  </si>
  <si>
    <t>39569950012</t>
  </si>
  <si>
    <t>39556670005</t>
  </si>
  <si>
    <t>39567670101</t>
  </si>
  <si>
    <t>39578250402</t>
  </si>
  <si>
    <t>39559910742</t>
  </si>
  <si>
    <t>39559910736</t>
  </si>
  <si>
    <t>39578250401</t>
  </si>
  <si>
    <t>39579960042</t>
  </si>
  <si>
    <t>39579950258</t>
  </si>
  <si>
    <t>39560850203</t>
  </si>
  <si>
    <t>39530500401</t>
  </si>
  <si>
    <t>39567480200</t>
  </si>
  <si>
    <t>39567500000</t>
  </si>
  <si>
    <t>39567440200</t>
  </si>
  <si>
    <t>39516100007</t>
  </si>
  <si>
    <t>39577200001</t>
  </si>
  <si>
    <t>39582200006</t>
  </si>
  <si>
    <t>39572200008</t>
  </si>
  <si>
    <t>39566850400</t>
  </si>
  <si>
    <t>39570300002</t>
  </si>
  <si>
    <t>39515800402</t>
  </si>
  <si>
    <t>39586100803</t>
  </si>
  <si>
    <t>39586100204</t>
  </si>
  <si>
    <t>39589490006</t>
  </si>
  <si>
    <t>39581000102</t>
  </si>
  <si>
    <t>39584200200</t>
  </si>
  <si>
    <t>39579950283</t>
  </si>
  <si>
    <t>39589450002</t>
  </si>
  <si>
    <t>39588870303</t>
  </si>
  <si>
    <t>39559900129</t>
  </si>
  <si>
    <t>39558990030</t>
  </si>
  <si>
    <t>39580800002</t>
  </si>
  <si>
    <t>39569991811</t>
  </si>
  <si>
    <t>39598360000</t>
  </si>
  <si>
    <t>39569991405</t>
  </si>
  <si>
    <t>39559900135</t>
  </si>
  <si>
    <t>39571460004</t>
  </si>
  <si>
    <t>39572900000</t>
  </si>
  <si>
    <t>39553900301</t>
  </si>
  <si>
    <t>39556710007</t>
  </si>
  <si>
    <t>39555700106</t>
  </si>
  <si>
    <t>39553500205</t>
  </si>
  <si>
    <t>39530500403</t>
  </si>
  <si>
    <t>39589960114</t>
  </si>
  <si>
    <t>39589960112</t>
  </si>
  <si>
    <t>39559910203</t>
  </si>
  <si>
    <t>39553900006</t>
  </si>
  <si>
    <t>39530500108</t>
  </si>
  <si>
    <t>39550500107</t>
  </si>
  <si>
    <t>39556700202</t>
  </si>
  <si>
    <t>39556500106</t>
  </si>
  <si>
    <t>39558810702</t>
  </si>
  <si>
    <t>39551200304</t>
  </si>
  <si>
    <t>39566390403</t>
  </si>
  <si>
    <t>39556200004</t>
  </si>
  <si>
    <t>39560400500</t>
  </si>
  <si>
    <t>39588950013</t>
  </si>
  <si>
    <t>39530500400</t>
  </si>
  <si>
    <t>39589960110</t>
  </si>
  <si>
    <t>39514000104</t>
  </si>
  <si>
    <t>39556160205</t>
  </si>
  <si>
    <t>39552250007</t>
  </si>
  <si>
    <t>39562350103</t>
  </si>
  <si>
    <t>39530600004</t>
  </si>
  <si>
    <t>39555700103</t>
  </si>
  <si>
    <t>39560400006</t>
  </si>
  <si>
    <t>39587770000</t>
  </si>
  <si>
    <t>39589130307</t>
  </si>
  <si>
    <t>39555720002</t>
  </si>
  <si>
    <t>39588900002</t>
  </si>
  <si>
    <t>39595490000</t>
  </si>
  <si>
    <t>39595490003</t>
  </si>
  <si>
    <t>39595490001</t>
  </si>
  <si>
    <t>39578200302</t>
  </si>
  <si>
    <t>39558560002</t>
  </si>
  <si>
    <t>39583830000</t>
  </si>
  <si>
    <t>39588830000</t>
  </si>
  <si>
    <t>39595490002</t>
  </si>
  <si>
    <t>39556650005</t>
  </si>
  <si>
    <t>39578930000</t>
  </si>
  <si>
    <t>39578410004</t>
  </si>
  <si>
    <t>39516100114</t>
  </si>
  <si>
    <t>39558490204</t>
  </si>
  <si>
    <t>39579950268</t>
  </si>
  <si>
    <t>39530500620</t>
  </si>
  <si>
    <t>39569920006</t>
  </si>
  <si>
    <t>39561803100</t>
  </si>
  <si>
    <t>39514703700</t>
  </si>
  <si>
    <t>39549840178</t>
  </si>
  <si>
    <t>39543480500</t>
  </si>
  <si>
    <t>39514703300</t>
  </si>
  <si>
    <t>39540857100</t>
  </si>
  <si>
    <t>39592690500</t>
  </si>
  <si>
    <t>39514703800</t>
  </si>
  <si>
    <t>39599170000</t>
  </si>
  <si>
    <t>39545460000</t>
  </si>
  <si>
    <t>39590380300</t>
  </si>
  <si>
    <t>39590560000</t>
  </si>
  <si>
    <t>39549842476</t>
  </si>
  <si>
    <t>39549871200</t>
  </si>
  <si>
    <t>39543120900</t>
  </si>
  <si>
    <t>39562960200</t>
  </si>
  <si>
    <t>39549860058</t>
  </si>
  <si>
    <t>39548160000</t>
  </si>
  <si>
    <t>39548400100</t>
  </si>
  <si>
    <t>39546572800</t>
  </si>
  <si>
    <t>39538220200</t>
  </si>
  <si>
    <t>39549860066</t>
  </si>
  <si>
    <t>39548370000</t>
  </si>
  <si>
    <t>39542041000</t>
  </si>
  <si>
    <t>39544720600</t>
  </si>
  <si>
    <t>39544720700</t>
  </si>
  <si>
    <t>39544760400</t>
  </si>
  <si>
    <t>39544780200</t>
  </si>
  <si>
    <t>39548160100</t>
  </si>
  <si>
    <t>39561850100</t>
  </si>
  <si>
    <t>39543110900</t>
  </si>
  <si>
    <t>39564460100</t>
  </si>
  <si>
    <t>39540080200</t>
  </si>
  <si>
    <t>39560030000</t>
  </si>
  <si>
    <t>39538650200</t>
  </si>
  <si>
    <t>39592490400</t>
  </si>
  <si>
    <t>39590770400</t>
  </si>
  <si>
    <t>39565040000</t>
  </si>
  <si>
    <t>39542080600</t>
  </si>
  <si>
    <t>39548400000</t>
  </si>
  <si>
    <t>39541901900</t>
  </si>
  <si>
    <t>39543520200</t>
  </si>
  <si>
    <t>39541600700</t>
  </si>
  <si>
    <t>39545190400</t>
  </si>
  <si>
    <t>39592102400</t>
  </si>
  <si>
    <t>39544790600</t>
  </si>
  <si>
    <t>39592590000</t>
  </si>
  <si>
    <t>39546660000</t>
  </si>
  <si>
    <t>39541200900</t>
  </si>
  <si>
    <t>39546100000</t>
  </si>
  <si>
    <t>39545160000</t>
  </si>
  <si>
    <t>39549960182</t>
  </si>
  <si>
    <t>39543910100</t>
  </si>
  <si>
    <t>39542770300</t>
  </si>
  <si>
    <t>39514803100</t>
  </si>
  <si>
    <t>39546900000</t>
  </si>
  <si>
    <t>39561800600</t>
  </si>
  <si>
    <t>39561102800</t>
  </si>
  <si>
    <t>39514501000</t>
  </si>
  <si>
    <t>39561850300</t>
  </si>
  <si>
    <t>39541800900</t>
  </si>
  <si>
    <t>39545401800</t>
  </si>
  <si>
    <t>39591150300</t>
  </si>
  <si>
    <t>39541103500</t>
  </si>
  <si>
    <t>39549940140</t>
  </si>
  <si>
    <t>39540080300</t>
  </si>
  <si>
    <t>39560040400</t>
  </si>
  <si>
    <t>39565210600</t>
  </si>
  <si>
    <t>39565210500</t>
  </si>
  <si>
    <t>39593260600</t>
  </si>
  <si>
    <t>39549850061</t>
  </si>
  <si>
    <t>39548590200</t>
  </si>
  <si>
    <t>39564360172</t>
  </si>
  <si>
    <t>39592450000</t>
  </si>
  <si>
    <t>39542000600</t>
  </si>
  <si>
    <t>39549940142</t>
  </si>
  <si>
    <t>39549910678</t>
  </si>
  <si>
    <t>39545560000</t>
  </si>
  <si>
    <t>39564980900</t>
  </si>
  <si>
    <t>39541800600</t>
  </si>
  <si>
    <t>39564302100</t>
  </si>
  <si>
    <t>39595600800</t>
  </si>
  <si>
    <t>39540856501</t>
  </si>
  <si>
    <t>39541250503</t>
  </si>
  <si>
    <t>39546400700</t>
  </si>
  <si>
    <t>39592780000</t>
  </si>
  <si>
    <t>39545170700</t>
  </si>
  <si>
    <t>39514501100</t>
  </si>
  <si>
    <t>39540652000</t>
  </si>
  <si>
    <t>39545790200</t>
  </si>
  <si>
    <t>39561000100</t>
  </si>
  <si>
    <t>39545500800</t>
  </si>
  <si>
    <t>39549871300</t>
  </si>
  <si>
    <t>39545070300</t>
  </si>
  <si>
    <t>39546560900</t>
  </si>
  <si>
    <t>39549871400</t>
  </si>
  <si>
    <t>39549900400</t>
  </si>
  <si>
    <t>39546290300</t>
  </si>
  <si>
    <t>39592691100</t>
  </si>
  <si>
    <t>39592691200</t>
  </si>
  <si>
    <t>39546760400</t>
  </si>
  <si>
    <t>39546790200</t>
  </si>
  <si>
    <t>39540651700</t>
  </si>
  <si>
    <t>39549930100</t>
  </si>
  <si>
    <t>39545170600</t>
  </si>
  <si>
    <t>39546460200</t>
  </si>
  <si>
    <t>39549920059</t>
  </si>
  <si>
    <t>39545560201</t>
  </si>
  <si>
    <t>39545192000</t>
  </si>
  <si>
    <t>39542730000</t>
  </si>
  <si>
    <t>39548100200</t>
  </si>
  <si>
    <t>39548120000</t>
  </si>
  <si>
    <t>39561870600</t>
  </si>
  <si>
    <t>39548571072</t>
  </si>
  <si>
    <t>39544940700</t>
  </si>
  <si>
    <t>39548110071</t>
  </si>
  <si>
    <t>39544720500</t>
  </si>
  <si>
    <t>39548160072</t>
  </si>
  <si>
    <t>39549860062</t>
  </si>
  <si>
    <t>39548140400</t>
  </si>
  <si>
    <t>39564980700</t>
  </si>
  <si>
    <t>39565080000</t>
  </si>
  <si>
    <t>39565000400</t>
  </si>
  <si>
    <t>39564450000</t>
  </si>
  <si>
    <t>39541103400</t>
  </si>
  <si>
    <t>39541901700</t>
  </si>
  <si>
    <t>39541004200</t>
  </si>
  <si>
    <t>39590951000</t>
  </si>
  <si>
    <t>39544820000</t>
  </si>
  <si>
    <t>39541301500</t>
  </si>
  <si>
    <t>39514302900</t>
  </si>
  <si>
    <t>39545161172</t>
  </si>
  <si>
    <t>39549860064</t>
  </si>
  <si>
    <t>39543070200</t>
  </si>
  <si>
    <t>39546191171</t>
  </si>
  <si>
    <t>39549842474</t>
  </si>
  <si>
    <t>39549910676</t>
  </si>
  <si>
    <t>39545161274</t>
  </si>
  <si>
    <t>39549970572</t>
  </si>
  <si>
    <t>39549870279</t>
  </si>
  <si>
    <t>39592770100</t>
  </si>
  <si>
    <t>39592770372</t>
  </si>
  <si>
    <t>39549940130</t>
  </si>
  <si>
    <t>39546572600</t>
  </si>
  <si>
    <t>39542490900</t>
  </si>
  <si>
    <t>39541251500</t>
  </si>
  <si>
    <t>39548310672</t>
  </si>
  <si>
    <t>39538230300</t>
  </si>
  <si>
    <t>39541901800</t>
  </si>
  <si>
    <t>39565130300</t>
  </si>
  <si>
    <t>39541902000</t>
  </si>
  <si>
    <t>39549850400</t>
  </si>
  <si>
    <t>39558492200</t>
  </si>
  <si>
    <t>39559860072</t>
  </si>
  <si>
    <t>39510098618</t>
  </si>
  <si>
    <t>39510005770</t>
  </si>
  <si>
    <t>39516410307</t>
  </si>
  <si>
    <t>39510007400</t>
  </si>
  <si>
    <t>39510007450</t>
  </si>
  <si>
    <t>39510007550</t>
  </si>
  <si>
    <t>39510007552</t>
  </si>
  <si>
    <t>39510007458</t>
  </si>
  <si>
    <t>39510007459</t>
  </si>
  <si>
    <t>39510007850</t>
  </si>
  <si>
    <t>39510007851</t>
  </si>
  <si>
    <t>39510007852</t>
  </si>
  <si>
    <t>39510007853</t>
  </si>
  <si>
    <t>39510007854</t>
  </si>
  <si>
    <t>39510007855</t>
  </si>
  <si>
    <t>39510007856</t>
  </si>
  <si>
    <t>39510007857</t>
  </si>
  <si>
    <t>39510007858</t>
  </si>
  <si>
    <t>39510007556</t>
  </si>
  <si>
    <t>39510005750</t>
  </si>
  <si>
    <t>39510007551</t>
  </si>
  <si>
    <t>39510007453</t>
  </si>
  <si>
    <t>39510007455</t>
  </si>
  <si>
    <t>39510007951</t>
  </si>
  <si>
    <t>39510007859</t>
  </si>
  <si>
    <t>39510007454</t>
  </si>
  <si>
    <t>39510007420</t>
  </si>
  <si>
    <t>39510007440</t>
  </si>
  <si>
    <t>39510007800</t>
  </si>
  <si>
    <t>39510007350</t>
  </si>
  <si>
    <t>39510094458</t>
  </si>
  <si>
    <t>39510094426</t>
  </si>
  <si>
    <t>39510094423</t>
  </si>
  <si>
    <t>39550160001</t>
  </si>
  <si>
    <t>39559920853</t>
  </si>
  <si>
    <t>39559920838</t>
  </si>
  <si>
    <t>39559920839</t>
  </si>
  <si>
    <t>39559920852</t>
  </si>
  <si>
    <t>39559920860</t>
  </si>
  <si>
    <t>39559920854</t>
  </si>
  <si>
    <t>39559920861</t>
  </si>
  <si>
    <t>39559920855</t>
  </si>
  <si>
    <t>39559920848</t>
  </si>
  <si>
    <t>39559920849</t>
  </si>
  <si>
    <t>39559920850</t>
  </si>
  <si>
    <t>39565171650</t>
  </si>
  <si>
    <t>39593050751</t>
  </si>
  <si>
    <t>39525950890</t>
  </si>
  <si>
    <t>39529841396</t>
  </si>
  <si>
    <t>39521900601</t>
  </si>
  <si>
    <t>39537104051</t>
  </si>
  <si>
    <t>39537104050</t>
  </si>
  <si>
    <t>39537004041</t>
  </si>
  <si>
    <t>39537004043</t>
  </si>
  <si>
    <t>39537004045</t>
  </si>
  <si>
    <t>39537004039</t>
  </si>
  <si>
    <t>39537004054</t>
  </si>
  <si>
    <t>39537004052</t>
  </si>
  <si>
    <t>39537004040</t>
  </si>
  <si>
    <t>39537004042</t>
  </si>
  <si>
    <t>39537004044</t>
  </si>
  <si>
    <t>39537004058</t>
  </si>
  <si>
    <t>39537004056</t>
  </si>
  <si>
    <t>39537004038</t>
  </si>
  <si>
    <t>39537004037</t>
  </si>
  <si>
    <t>39537105050</t>
  </si>
  <si>
    <t>39553390074</t>
  </si>
  <si>
    <t>39529670091</t>
  </si>
  <si>
    <t>39537001077</t>
  </si>
  <si>
    <t>39529841395</t>
  </si>
  <si>
    <t>39525850090</t>
  </si>
  <si>
    <t>39529841792</t>
  </si>
  <si>
    <t>39529842293</t>
  </si>
  <si>
    <t>39529842892</t>
  </si>
  <si>
    <t>39592200482</t>
  </si>
  <si>
    <t>39510092210</t>
  </si>
  <si>
    <t>39510090111</t>
  </si>
  <si>
    <t>39510090112</t>
  </si>
  <si>
    <t>39537001064</t>
  </si>
  <si>
    <t>39520901470</t>
  </si>
  <si>
    <t>39529842483</t>
  </si>
  <si>
    <t>39527180872</t>
  </si>
  <si>
    <t>39529842482</t>
  </si>
  <si>
    <t>39521900684</t>
  </si>
  <si>
    <t>39529845580</t>
  </si>
  <si>
    <t>39529842585</t>
  </si>
  <si>
    <t>39520700882</t>
  </si>
  <si>
    <t>39529660091</t>
  </si>
  <si>
    <t>39527180871</t>
  </si>
  <si>
    <t>39516930680</t>
  </si>
  <si>
    <t>39516930681</t>
  </si>
  <si>
    <t>39529842575</t>
  </si>
  <si>
    <t>39520700872</t>
  </si>
  <si>
    <t>39520700881</t>
  </si>
  <si>
    <t>39520700871</t>
  </si>
  <si>
    <t>39549962602</t>
  </si>
  <si>
    <t>39510000710</t>
  </si>
  <si>
    <t>39558490015</t>
  </si>
  <si>
    <t>39510090118</t>
  </si>
  <si>
    <t>39510090125</t>
  </si>
  <si>
    <t>39510090124</t>
  </si>
  <si>
    <t>39510090126</t>
  </si>
  <si>
    <t>39510090119</t>
  </si>
  <si>
    <t>39510090114</t>
  </si>
  <si>
    <t>39510090113</t>
  </si>
  <si>
    <t>39510090123</t>
  </si>
  <si>
    <t>39549950301</t>
  </si>
  <si>
    <t>39510005090</t>
  </si>
  <si>
    <t>39520601000</t>
  </si>
  <si>
    <t>39522600700</t>
  </si>
  <si>
    <t>39589150101</t>
  </si>
  <si>
    <t>39537510300</t>
  </si>
  <si>
    <t>39510094735</t>
  </si>
  <si>
    <t>39510009672</t>
  </si>
  <si>
    <t>39527530800</t>
  </si>
  <si>
    <t>39529870305</t>
  </si>
  <si>
    <t>39535750401</t>
  </si>
  <si>
    <t>39550300104</t>
  </si>
  <si>
    <t>39517060104</t>
  </si>
  <si>
    <t>39560700200</t>
  </si>
  <si>
    <t>39553500200</t>
  </si>
  <si>
    <t>39516400308</t>
  </si>
  <si>
    <t>39527070302</t>
  </si>
  <si>
    <t>39527070304</t>
  </si>
  <si>
    <t>39538400601</t>
  </si>
  <si>
    <t>39529842505</t>
  </si>
  <si>
    <t>39520700802</t>
  </si>
  <si>
    <t>39520700801</t>
  </si>
  <si>
    <t>39520901400</t>
  </si>
  <si>
    <t>39529843471</t>
  </si>
  <si>
    <t>39529671001</t>
  </si>
  <si>
    <t>39538300301</t>
  </si>
  <si>
    <t>39538300400</t>
  </si>
  <si>
    <t>39538470401</t>
  </si>
  <si>
    <t>39527200401</t>
  </si>
  <si>
    <t>39529940002</t>
  </si>
  <si>
    <t>39529760002</t>
  </si>
  <si>
    <t>39525451300</t>
  </si>
  <si>
    <t>39529843201</t>
  </si>
  <si>
    <t>39521601800</t>
  </si>
  <si>
    <t>39521950300</t>
  </si>
  <si>
    <t>39529670103</t>
  </si>
  <si>
    <t>39521000000</t>
  </si>
  <si>
    <t>39529841273</t>
  </si>
  <si>
    <t>39529841203</t>
  </si>
  <si>
    <t>39548240400</t>
  </si>
  <si>
    <t>39538530300</t>
  </si>
  <si>
    <t>39526951100</t>
  </si>
  <si>
    <t>39523650700</t>
  </si>
  <si>
    <t>39526560002</t>
  </si>
  <si>
    <t>39537450000</t>
  </si>
  <si>
    <t>39538390000</t>
  </si>
  <si>
    <t>39521901000</t>
  </si>
  <si>
    <t>39548670100</t>
  </si>
  <si>
    <t>39523700400</t>
  </si>
  <si>
    <t>39520601800</t>
  </si>
  <si>
    <t>39524450901</t>
  </si>
  <si>
    <t>39520251900</t>
  </si>
  <si>
    <t>39521301500</t>
  </si>
  <si>
    <t>39527200900</t>
  </si>
  <si>
    <t>39529845000</t>
  </si>
  <si>
    <t>39527360000</t>
  </si>
  <si>
    <t>39512290405</t>
  </si>
  <si>
    <t>39529843403</t>
  </si>
  <si>
    <t>39527181900</t>
  </si>
  <si>
    <t>39527182000</t>
  </si>
  <si>
    <t>39521601700</t>
  </si>
  <si>
    <t>39520301500</t>
  </si>
  <si>
    <t>39525750300</t>
  </si>
  <si>
    <t>39523900903</t>
  </si>
  <si>
    <t>39529841702</t>
  </si>
  <si>
    <t>39529841703</t>
  </si>
  <si>
    <t>39529870014</t>
  </si>
  <si>
    <t>39529842804</t>
  </si>
  <si>
    <t>39529842801</t>
  </si>
  <si>
    <t>39538300800</t>
  </si>
  <si>
    <t>39548260001</t>
  </si>
  <si>
    <t>39531700901</t>
  </si>
  <si>
    <t>39527790500</t>
  </si>
  <si>
    <t>39538370001</t>
  </si>
  <si>
    <t>39527030902</t>
  </si>
  <si>
    <t>39529842602</t>
  </si>
  <si>
    <t>39538400500</t>
  </si>
  <si>
    <t>39520100303</t>
  </si>
  <si>
    <t>39521650300</t>
  </si>
  <si>
    <t>39526970007</t>
  </si>
  <si>
    <t>39528140300</t>
  </si>
  <si>
    <t>39525650005</t>
  </si>
  <si>
    <t>39529842901</t>
  </si>
  <si>
    <t>39527220802</t>
  </si>
  <si>
    <t>39529842102</t>
  </si>
  <si>
    <t>39523950701</t>
  </si>
  <si>
    <t>39548230700</t>
  </si>
  <si>
    <t>39521350501</t>
  </si>
  <si>
    <t>39548230701</t>
  </si>
  <si>
    <t>39527560501</t>
  </si>
  <si>
    <t>39522901002</t>
  </si>
  <si>
    <t>39529842506</t>
  </si>
  <si>
    <t>39521650301</t>
  </si>
  <si>
    <t>39527200901</t>
  </si>
  <si>
    <t>39537360102</t>
  </si>
  <si>
    <t>39526990300</t>
  </si>
  <si>
    <t>39520800501</t>
  </si>
  <si>
    <t>39538380501</t>
  </si>
  <si>
    <t>39521350502</t>
  </si>
  <si>
    <t>39548680500</t>
  </si>
  <si>
    <t>39548250500</t>
  </si>
  <si>
    <t>39548240302</t>
  </si>
  <si>
    <t>39527130500</t>
  </si>
  <si>
    <t>39538380600</t>
  </si>
  <si>
    <t>39514101102</t>
  </si>
  <si>
    <t>39514101101</t>
  </si>
  <si>
    <t>39514101103</t>
  </si>
  <si>
    <t>39532400004</t>
  </si>
  <si>
    <t>39522190501</t>
  </si>
  <si>
    <t>39538420000</t>
  </si>
  <si>
    <t>39522650205</t>
  </si>
  <si>
    <t>39525250501</t>
  </si>
  <si>
    <t>39523550502</t>
  </si>
  <si>
    <t>39538300100</t>
  </si>
  <si>
    <t>39527800303</t>
  </si>
  <si>
    <t>39527520500</t>
  </si>
  <si>
    <t>39520900801</t>
  </si>
  <si>
    <t>39527030702</t>
  </si>
  <si>
    <t>39529842604</t>
  </si>
  <si>
    <t>39520700505</t>
  </si>
  <si>
    <t>39527070501</t>
  </si>
  <si>
    <t>39540300301</t>
  </si>
  <si>
    <t>39533250501</t>
  </si>
  <si>
    <t>39527030503</t>
  </si>
  <si>
    <t>39523000501</t>
  </si>
  <si>
    <t>39533250500</t>
  </si>
  <si>
    <t>39522190500</t>
  </si>
  <si>
    <t>39548210300</t>
  </si>
  <si>
    <t>39526950302</t>
  </si>
  <si>
    <t>39548260101</t>
  </si>
  <si>
    <t>39526970403</t>
  </si>
  <si>
    <t>39529840109</t>
  </si>
  <si>
    <t>39538530500</t>
  </si>
  <si>
    <t>39529942300</t>
  </si>
  <si>
    <t>39523550800</t>
  </si>
  <si>
    <t>39527580500</t>
  </si>
  <si>
    <t>39527910200</t>
  </si>
  <si>
    <t>39521200801</t>
  </si>
  <si>
    <t>39529842101</t>
  </si>
  <si>
    <t>39520700307</t>
  </si>
  <si>
    <t>39525680001</t>
  </si>
  <si>
    <t>39520501200</t>
  </si>
  <si>
    <t>39529842103</t>
  </si>
  <si>
    <t>39537780300</t>
  </si>
  <si>
    <t>39538520700</t>
  </si>
  <si>
    <t>39526150801</t>
  </si>
  <si>
    <t>39526150802</t>
  </si>
  <si>
    <t>39532400007</t>
  </si>
  <si>
    <t>39521850502</t>
  </si>
  <si>
    <t>39513601400</t>
  </si>
  <si>
    <t>39520100502</t>
  </si>
  <si>
    <t>39523100503</t>
  </si>
  <si>
    <t>39538400501</t>
  </si>
  <si>
    <t>39522251600</t>
  </si>
  <si>
    <t>39521351500</t>
  </si>
  <si>
    <t>39548240500</t>
  </si>
  <si>
    <t>39521200205</t>
  </si>
  <si>
    <t>39522300504</t>
  </si>
  <si>
    <t>39522300503</t>
  </si>
  <si>
    <t>39522300502</t>
  </si>
  <si>
    <t>39521551500</t>
  </si>
  <si>
    <t>39521650500</t>
  </si>
  <si>
    <t>39548240600</t>
  </si>
  <si>
    <t>39538410601</t>
  </si>
  <si>
    <t>39527400200</t>
  </si>
  <si>
    <t>39529843101</t>
  </si>
  <si>
    <t>39529841004</t>
  </si>
  <si>
    <t>39532400006</t>
  </si>
  <si>
    <t>39523101802</t>
  </si>
  <si>
    <t>39522250501</t>
  </si>
  <si>
    <t>39529900001</t>
  </si>
  <si>
    <t>39533600501</t>
  </si>
  <si>
    <t>39522001001</t>
  </si>
  <si>
    <t>39531800701</t>
  </si>
  <si>
    <t>39538410600</t>
  </si>
  <si>
    <t>39520100503</t>
  </si>
  <si>
    <t>39522301502</t>
  </si>
  <si>
    <t>39527030801</t>
  </si>
  <si>
    <t>39528030301</t>
  </si>
  <si>
    <t>39527200501</t>
  </si>
  <si>
    <t>39527200701</t>
  </si>
  <si>
    <t>39527220401</t>
  </si>
  <si>
    <t>39527220801</t>
  </si>
  <si>
    <t>39529800800</t>
  </si>
  <si>
    <t>39527180008</t>
  </si>
  <si>
    <t>39529841507</t>
  </si>
  <si>
    <t>39527530203</t>
  </si>
  <si>
    <t>39526520500</t>
  </si>
  <si>
    <t>39529870701</t>
  </si>
  <si>
    <t>39529841508</t>
  </si>
  <si>
    <t>39521000501</t>
  </si>
  <si>
    <t>39538460004</t>
  </si>
  <si>
    <t>39527190001</t>
  </si>
  <si>
    <t>39527210006</t>
  </si>
  <si>
    <t>39538340501</t>
  </si>
  <si>
    <t>39538460005</t>
  </si>
  <si>
    <t>39538460003</t>
  </si>
  <si>
    <t>39527020005</t>
  </si>
  <si>
    <t>39548200500</t>
  </si>
  <si>
    <t>39529842902</t>
  </si>
  <si>
    <t>39529842903</t>
  </si>
  <si>
    <t>39529842904</t>
  </si>
  <si>
    <t>39526962300</t>
  </si>
  <si>
    <t>39529672201</t>
  </si>
  <si>
    <t>39525680002</t>
  </si>
  <si>
    <t>39524150201</t>
  </si>
  <si>
    <t>39527170800</t>
  </si>
  <si>
    <t>39538470700</t>
  </si>
  <si>
    <t>39529672202</t>
  </si>
  <si>
    <t>39526972200</t>
  </si>
  <si>
    <t>39529842702</t>
  </si>
  <si>
    <t>39527071100</t>
  </si>
  <si>
    <t>39527071101</t>
  </si>
  <si>
    <t>39527050600</t>
  </si>
  <si>
    <t>39538330500</t>
  </si>
  <si>
    <t>39538340003</t>
  </si>
  <si>
    <t>39529843001</t>
  </si>
  <si>
    <t>39529843301</t>
  </si>
  <si>
    <t>39524101500</t>
  </si>
  <si>
    <t>39521600601</t>
  </si>
  <si>
    <t>39527540500</t>
  </si>
  <si>
    <t>39522900003</t>
  </si>
  <si>
    <t>39527030006</t>
  </si>
  <si>
    <t>39527200502</t>
  </si>
  <si>
    <t>39529760401</t>
  </si>
  <si>
    <t>39529780900</t>
  </si>
  <si>
    <t>39521600703</t>
  </si>
  <si>
    <t>39527030502</t>
  </si>
  <si>
    <t>39521000502</t>
  </si>
  <si>
    <t>39527030501</t>
  </si>
  <si>
    <t>39520200001</t>
  </si>
  <si>
    <t>39522350004</t>
  </si>
  <si>
    <t>39527050002</t>
  </si>
  <si>
    <t>39537450500</t>
  </si>
  <si>
    <t>39538340502</t>
  </si>
  <si>
    <t>39538520600</t>
  </si>
  <si>
    <t>39527220501</t>
  </si>
  <si>
    <t>39529842406</t>
  </si>
  <si>
    <t>39529842405</t>
  </si>
  <si>
    <t>39520700601</t>
  </si>
  <si>
    <t>39526151503</t>
  </si>
  <si>
    <t>39537730500</t>
  </si>
  <si>
    <t>39538470503</t>
  </si>
  <si>
    <t>39548230500</t>
  </si>
  <si>
    <t>39548250501</t>
  </si>
  <si>
    <t>39537360501</t>
  </si>
  <si>
    <t>39529843103</t>
  </si>
  <si>
    <t>39529672203</t>
  </si>
  <si>
    <t>39537000602</t>
  </si>
  <si>
    <t>39523700601</t>
  </si>
  <si>
    <t>39529842105</t>
  </si>
  <si>
    <t>39537000601</t>
  </si>
  <si>
    <t>39529940603</t>
  </si>
  <si>
    <t>39529940701</t>
  </si>
  <si>
    <t>39529940702</t>
  </si>
  <si>
    <t>39527182202</t>
  </si>
  <si>
    <t>39527160401</t>
  </si>
  <si>
    <t>39523050200</t>
  </si>
  <si>
    <t>39526950502</t>
  </si>
  <si>
    <t>39537660201</t>
  </si>
  <si>
    <t>39524500502</t>
  </si>
  <si>
    <t>39524500601</t>
  </si>
  <si>
    <t>39525450501</t>
  </si>
  <si>
    <t>39522252200</t>
  </si>
  <si>
    <t>39527220502</t>
  </si>
  <si>
    <t>39521300501</t>
  </si>
  <si>
    <t>39538300500</t>
  </si>
  <si>
    <t>39527180601</t>
  </si>
  <si>
    <t>39529980405</t>
  </si>
  <si>
    <t>39521600502</t>
  </si>
  <si>
    <t>39525650600</t>
  </si>
  <si>
    <t>39529802200</t>
  </si>
  <si>
    <t>39529843903</t>
  </si>
  <si>
    <t>39529843104</t>
  </si>
  <si>
    <t>39529843102</t>
  </si>
  <si>
    <t>39529841603</t>
  </si>
  <si>
    <t>39521100501</t>
  </si>
  <si>
    <t>39538310002</t>
  </si>
  <si>
    <t>39529843804</t>
  </si>
  <si>
    <t>39538350201</t>
  </si>
  <si>
    <t>39538460201</t>
  </si>
  <si>
    <t>39520900302</t>
  </si>
  <si>
    <t>39523550501</t>
  </si>
  <si>
    <t>39526150501</t>
  </si>
  <si>
    <t>39520800502</t>
  </si>
  <si>
    <t>39529843802</t>
  </si>
  <si>
    <t>39533250701</t>
  </si>
  <si>
    <t>39520100701</t>
  </si>
  <si>
    <t>39528040302</t>
  </si>
  <si>
    <t>39538310702</t>
  </si>
  <si>
    <t>39516410202</t>
  </si>
  <si>
    <t>39538310701</t>
  </si>
  <si>
    <t>39520901600</t>
  </si>
  <si>
    <t>39529841304</t>
  </si>
  <si>
    <t>39529841306</t>
  </si>
  <si>
    <t>39529670007</t>
  </si>
  <si>
    <t>39510092201</t>
  </si>
  <si>
    <t>39529840005</t>
  </si>
  <si>
    <t>39513001302</t>
  </si>
  <si>
    <t>39513001301</t>
  </si>
  <si>
    <t>39537790300</t>
  </si>
  <si>
    <t>39537000401</t>
  </si>
  <si>
    <t>39559910804</t>
  </si>
  <si>
    <t>39529842404</t>
  </si>
  <si>
    <t>39538520501</t>
  </si>
  <si>
    <t>39529780200</t>
  </si>
  <si>
    <t>39524101000</t>
  </si>
  <si>
    <t>39522251300</t>
  </si>
  <si>
    <t>39522251500</t>
  </si>
  <si>
    <t>39553600102</t>
  </si>
  <si>
    <t>39529950305</t>
  </si>
  <si>
    <t>39529841803</t>
  </si>
  <si>
    <t>39521900604</t>
  </si>
  <si>
    <t>39529671102</t>
  </si>
  <si>
    <t>39525550700</t>
  </si>
  <si>
    <t>39529800601</t>
  </si>
  <si>
    <t>39527181401</t>
  </si>
  <si>
    <t>39529841701</t>
  </si>
  <si>
    <t>39539960018</t>
  </si>
  <si>
    <t>39559920228</t>
  </si>
  <si>
    <t>39559900314</t>
  </si>
  <si>
    <t>39559910603</t>
  </si>
  <si>
    <t>39539910001</t>
  </si>
  <si>
    <t>39559910772</t>
  </si>
  <si>
    <t>39559910765</t>
  </si>
  <si>
    <t>39558520005</t>
  </si>
  <si>
    <t>39556660008</t>
  </si>
  <si>
    <t>39559910733</t>
  </si>
  <si>
    <t>39536350003</t>
  </si>
  <si>
    <t>39535000006</t>
  </si>
  <si>
    <t>39562180007</t>
  </si>
  <si>
    <t>39559890076</t>
  </si>
  <si>
    <t>39559921040</t>
  </si>
  <si>
    <t>39529842402</t>
  </si>
  <si>
    <t>39529842403</t>
  </si>
  <si>
    <t>39529843900</t>
  </si>
  <si>
    <t>39521600504</t>
  </si>
  <si>
    <t>39529940800</t>
  </si>
  <si>
    <t>39524550700</t>
  </si>
  <si>
    <t>39522300703</t>
  </si>
  <si>
    <t>39527180401</t>
  </si>
  <si>
    <t>39521100301</t>
  </si>
  <si>
    <t>39528080000</t>
  </si>
  <si>
    <t>39526740200</t>
  </si>
  <si>
    <t>39537320901</t>
  </si>
  <si>
    <t>39524150001</t>
  </si>
  <si>
    <t>39527030901</t>
  </si>
  <si>
    <t>39525900401</t>
  </si>
  <si>
    <t>39536700101</t>
  </si>
  <si>
    <t>39521900001</t>
  </si>
  <si>
    <t>39529840003</t>
  </si>
  <si>
    <t>39520500400</t>
  </si>
  <si>
    <t>39523950501</t>
  </si>
  <si>
    <t>39525050301</t>
  </si>
  <si>
    <t>39529670104</t>
  </si>
  <si>
    <t>39521900000</t>
  </si>
  <si>
    <t>39520600006</t>
  </si>
  <si>
    <t>39520100501</t>
  </si>
  <si>
    <t>39529840609</t>
  </si>
  <si>
    <t>39527220702</t>
  </si>
  <si>
    <t>39527730501</t>
  </si>
  <si>
    <t>39522750500</t>
  </si>
  <si>
    <t>39527170400</t>
  </si>
  <si>
    <t>39522250003</t>
  </si>
  <si>
    <t>39531100303</t>
  </si>
  <si>
    <t>39532401400</t>
  </si>
  <si>
    <t>39529841303</t>
  </si>
  <si>
    <t>39525650900</t>
  </si>
  <si>
    <t>39537000402</t>
  </si>
  <si>
    <t>39527180802</t>
  </si>
  <si>
    <t>39537000001</t>
  </si>
  <si>
    <t>39537002201</t>
  </si>
  <si>
    <t>39533500300</t>
  </si>
  <si>
    <t>39537320801</t>
  </si>
  <si>
    <t>39529800500</t>
  </si>
  <si>
    <t>39525650202</t>
  </si>
  <si>
    <t>39538320101</t>
  </si>
  <si>
    <t>39529790500</t>
  </si>
  <si>
    <t>39529845510</t>
  </si>
  <si>
    <t>39527210302</t>
  </si>
  <si>
    <t>39548222200</t>
  </si>
  <si>
    <t>39529671801</t>
  </si>
  <si>
    <t>39528180501</t>
  </si>
  <si>
    <t>39537030200</t>
  </si>
  <si>
    <t>39527130501</t>
  </si>
  <si>
    <t>39527820601</t>
  </si>
  <si>
    <t>39548690300</t>
  </si>
  <si>
    <t>39529843701</t>
  </si>
  <si>
    <t>39527610501</t>
  </si>
  <si>
    <t>39527182300</t>
  </si>
  <si>
    <t>39529671802</t>
  </si>
  <si>
    <t>39521090200</t>
  </si>
  <si>
    <t>39538300602</t>
  </si>
  <si>
    <t>39538300603</t>
  </si>
  <si>
    <t>39538300601</t>
  </si>
  <si>
    <t>39538400001</t>
  </si>
  <si>
    <t>39529842603</t>
  </si>
  <si>
    <t>39520900701</t>
  </si>
  <si>
    <t>39527170302</t>
  </si>
  <si>
    <t>39548220101</t>
  </si>
  <si>
    <t>39529843702</t>
  </si>
  <si>
    <t>39538260002</t>
  </si>
  <si>
    <t>39529845501</t>
  </si>
  <si>
    <t>39529845503</t>
  </si>
  <si>
    <t>39529845504</t>
  </si>
  <si>
    <t>39529940602</t>
  </si>
  <si>
    <t>39527050401</t>
  </si>
  <si>
    <t>39548220503</t>
  </si>
  <si>
    <t>39536970500</t>
  </si>
  <si>
    <t>39529800501</t>
  </si>
  <si>
    <t>39529841902</t>
  </si>
  <si>
    <t>39526972300</t>
  </si>
  <si>
    <t>39527071000</t>
  </si>
  <si>
    <t>39529672001</t>
  </si>
  <si>
    <t>39529843502</t>
  </si>
  <si>
    <t>39538260010</t>
  </si>
  <si>
    <t>39529980200</t>
  </si>
  <si>
    <t>39529840903</t>
  </si>
  <si>
    <t>39527180801</t>
  </si>
  <si>
    <t>39529845502</t>
  </si>
  <si>
    <t>39521201700</t>
  </si>
  <si>
    <t>39520250102</t>
  </si>
  <si>
    <t>39529840401</t>
  </si>
  <si>
    <t>39529670105</t>
  </si>
  <si>
    <t>39529842802</t>
  </si>
  <si>
    <t>39522651200</t>
  </si>
  <si>
    <t>39539910071</t>
  </si>
  <si>
    <t>39554070071</t>
  </si>
  <si>
    <t>39558520075</t>
  </si>
  <si>
    <t>39559960008</t>
  </si>
  <si>
    <t>39556660078</t>
  </si>
  <si>
    <t>39559910673</t>
  </si>
  <si>
    <t>39559160070</t>
  </si>
  <si>
    <t>39559920229</t>
  </si>
  <si>
    <t>39530600070</t>
  </si>
  <si>
    <t>39559910766</t>
  </si>
  <si>
    <t>39559921045</t>
  </si>
  <si>
    <t>39558910076</t>
  </si>
  <si>
    <t>39556660079</t>
  </si>
  <si>
    <t>39559960078</t>
  </si>
  <si>
    <t>39559921111</t>
  </si>
  <si>
    <t>39539960019</t>
  </si>
  <si>
    <t>39559900315</t>
  </si>
  <si>
    <t>39514110071</t>
  </si>
  <si>
    <t>39559910873</t>
  </si>
  <si>
    <t>39557220074</t>
  </si>
  <si>
    <t>39529841501</t>
  </si>
  <si>
    <t>39529671101</t>
  </si>
  <si>
    <t>39529842204</t>
  </si>
  <si>
    <t>39529841204</t>
  </si>
  <si>
    <t>39529841205</t>
  </si>
  <si>
    <t>39529842202</t>
  </si>
  <si>
    <t>39529842203</t>
  </si>
  <si>
    <t>39538410500</t>
  </si>
  <si>
    <t>39521350401</t>
  </si>
  <si>
    <t>39531700900</t>
  </si>
  <si>
    <t>39529842206</t>
  </si>
  <si>
    <t>39529842207</t>
  </si>
  <si>
    <t>39521550501</t>
  </si>
  <si>
    <t>39521550500</t>
  </si>
  <si>
    <t>39529670902</t>
  </si>
  <si>
    <t>39524000701</t>
  </si>
  <si>
    <t>39529842205</t>
  </si>
  <si>
    <t>39516930609</t>
  </si>
  <si>
    <t>39521601900</t>
  </si>
  <si>
    <t>39579950272</t>
  </si>
  <si>
    <t>39520500801</t>
  </si>
  <si>
    <t>39559921103</t>
  </si>
  <si>
    <t>39559900043</t>
  </si>
  <si>
    <t>39510094637</t>
  </si>
  <si>
    <t>39529672300</t>
  </si>
  <si>
    <t>39599950600</t>
  </si>
  <si>
    <t>39544240100</t>
  </si>
  <si>
    <t>39544790400</t>
  </si>
  <si>
    <t>39544790500</t>
  </si>
  <si>
    <t>39510094443</t>
  </si>
  <si>
    <t>39529842304</t>
  </si>
  <si>
    <t>39510090743</t>
  </si>
  <si>
    <t>39538130001</t>
  </si>
  <si>
    <t>39510094428</t>
  </si>
  <si>
    <t>39583570000</t>
  </si>
  <si>
    <t>39572390608</t>
  </si>
  <si>
    <t>39579940035</t>
  </si>
  <si>
    <t>39510002825</t>
  </si>
  <si>
    <t>39578880004</t>
  </si>
  <si>
    <t>39515200153</t>
  </si>
  <si>
    <t>39551500000</t>
  </si>
  <si>
    <t>39520901480</t>
  </si>
  <si>
    <t>39529660001</t>
  </si>
  <si>
    <t>39529843183</t>
  </si>
  <si>
    <t>39527182380</t>
  </si>
  <si>
    <t>39527050481</t>
  </si>
  <si>
    <t>39559921141</t>
  </si>
  <si>
    <t>39555690055</t>
  </si>
  <si>
    <t>39586200055</t>
  </si>
  <si>
    <t>39560200450</t>
  </si>
  <si>
    <t>39560200451</t>
  </si>
  <si>
    <t>39587580051</t>
  </si>
  <si>
    <t>39587580050</t>
  </si>
  <si>
    <t>39557990052</t>
  </si>
  <si>
    <t>39558430051</t>
  </si>
  <si>
    <t>39559921155</t>
  </si>
  <si>
    <t>39559921157</t>
  </si>
  <si>
    <t>39559921152</t>
  </si>
  <si>
    <t>39569940052</t>
  </si>
  <si>
    <t>39559921156</t>
  </si>
  <si>
    <t>39559921158</t>
  </si>
  <si>
    <t>39559921150</t>
  </si>
  <si>
    <t>39558430050</t>
  </si>
  <si>
    <t>39559921151</t>
  </si>
  <si>
    <t>39555300351</t>
  </si>
  <si>
    <t>39586400052</t>
  </si>
  <si>
    <t>39588870351</t>
  </si>
  <si>
    <t>39587590050</t>
  </si>
  <si>
    <t>39578930050</t>
  </si>
  <si>
    <t>39587580052</t>
  </si>
  <si>
    <t>39589120050</t>
  </si>
  <si>
    <t>39589120051</t>
  </si>
  <si>
    <t>39584280050</t>
  </si>
  <si>
    <t>39585700050</t>
  </si>
  <si>
    <t>39584600050</t>
  </si>
  <si>
    <t>39530600051</t>
  </si>
  <si>
    <t>39592001021</t>
  </si>
  <si>
    <t>39569330058</t>
  </si>
  <si>
    <t>39581900051</t>
  </si>
  <si>
    <t>39563200055</t>
  </si>
  <si>
    <t>39545190000</t>
  </si>
  <si>
    <t>39545190001</t>
  </si>
  <si>
    <t>39538880075</t>
  </si>
  <si>
    <t>39561450122</t>
  </si>
  <si>
    <t>39561450123</t>
  </si>
  <si>
    <t>39510700425</t>
  </si>
  <si>
    <t>39516400324</t>
  </si>
  <si>
    <t>39555450022</t>
  </si>
  <si>
    <t>39520301022</t>
  </si>
  <si>
    <t>39511004622</t>
  </si>
  <si>
    <t>39512282223</t>
  </si>
  <si>
    <t>39554100025</t>
  </si>
  <si>
    <t>39527220421</t>
  </si>
  <si>
    <t>39527220821</t>
  </si>
  <si>
    <t>39513202720</t>
  </si>
  <si>
    <t>39533600723</t>
  </si>
  <si>
    <t>39538410622</t>
  </si>
  <si>
    <t>39527070620</t>
  </si>
  <si>
    <t>39527030921</t>
  </si>
  <si>
    <t>39527220822</t>
  </si>
  <si>
    <t>39520500821</t>
  </si>
  <si>
    <t>39520401524</t>
  </si>
  <si>
    <t>39520500420</t>
  </si>
  <si>
    <t>39525050321</t>
  </si>
  <si>
    <t>39512290424</t>
  </si>
  <si>
    <t>39529842624</t>
  </si>
  <si>
    <t>39529842622</t>
  </si>
  <si>
    <t>39527070521</t>
  </si>
  <si>
    <t>39527220722</t>
  </si>
  <si>
    <t>39527220721</t>
  </si>
  <si>
    <t>39523102521</t>
  </si>
  <si>
    <t>39522650922</t>
  </si>
  <si>
    <t>39522650923</t>
  </si>
  <si>
    <t>39522650924</t>
  </si>
  <si>
    <t>39578250422</t>
  </si>
  <si>
    <t>39580600020</t>
  </si>
  <si>
    <t>39515800022</t>
  </si>
  <si>
    <t>39515350723</t>
  </si>
  <si>
    <t>39571250020</t>
  </si>
  <si>
    <t>39511990020</t>
  </si>
  <si>
    <t>39581600025</t>
  </si>
  <si>
    <t>39550900520</t>
  </si>
  <si>
    <t>39571800020</t>
  </si>
  <si>
    <t>39515300024</t>
  </si>
  <si>
    <t>39581600026</t>
  </si>
  <si>
    <t>39585600124</t>
  </si>
  <si>
    <t>39516100128</t>
  </si>
  <si>
    <t>39572000223</t>
  </si>
  <si>
    <t>39515500422</t>
  </si>
  <si>
    <t>39596501722</t>
  </si>
  <si>
    <t>39599950578</t>
  </si>
  <si>
    <t>39521260070</t>
  </si>
  <si>
    <t>39580100750</t>
  </si>
  <si>
    <t>39531400006</t>
  </si>
  <si>
    <t>39536650071</t>
  </si>
  <si>
    <t>39541251650</t>
  </si>
  <si>
    <t>39565400850</t>
  </si>
  <si>
    <t>39559910552</t>
  </si>
  <si>
    <t>39559890551</t>
  </si>
  <si>
    <t>39539970057</t>
  </si>
  <si>
    <t>39553450254</t>
  </si>
  <si>
    <t>39553450255</t>
  </si>
  <si>
    <t>39553450256</t>
  </si>
  <si>
    <t>39553450257</t>
  </si>
  <si>
    <t>39559910052</t>
  </si>
  <si>
    <t>39559910051</t>
  </si>
  <si>
    <t>39559910050</t>
  </si>
  <si>
    <t>39553490251</t>
  </si>
  <si>
    <t>39571600456</t>
  </si>
  <si>
    <t>39511990152</t>
  </si>
  <si>
    <t>39511990151</t>
  </si>
  <si>
    <t>39511990057</t>
  </si>
  <si>
    <t>39511990150</t>
  </si>
  <si>
    <t>39511990055</t>
  </si>
  <si>
    <t>39511990058</t>
  </si>
  <si>
    <t>39511990056</t>
  </si>
  <si>
    <t>39511990054</t>
  </si>
  <si>
    <t>39511990053</t>
  </si>
  <si>
    <t>39557220050</t>
  </si>
  <si>
    <t>39513900650</t>
  </si>
  <si>
    <t>39513900652</t>
  </si>
  <si>
    <t>39533200251</t>
  </si>
  <si>
    <t>39530300254</t>
  </si>
  <si>
    <t>39517060452</t>
  </si>
  <si>
    <t>39552550151</t>
  </si>
  <si>
    <t>39530300256</t>
  </si>
  <si>
    <t>39555710052</t>
  </si>
  <si>
    <t>39553450253</t>
  </si>
  <si>
    <t>39555300052</t>
  </si>
  <si>
    <t>39560850056</t>
  </si>
  <si>
    <t>39517060150</t>
  </si>
  <si>
    <t>39533200253</t>
  </si>
  <si>
    <t>39556000050</t>
  </si>
  <si>
    <t>39556200050</t>
  </si>
  <si>
    <t>39559921154</t>
  </si>
  <si>
    <t>39559921160</t>
  </si>
  <si>
    <t>39560750054</t>
  </si>
  <si>
    <t>39537320952</t>
  </si>
  <si>
    <t>39537320953</t>
  </si>
  <si>
    <t>39553500250</t>
  </si>
  <si>
    <t>39536630050</t>
  </si>
  <si>
    <t>39589230651</t>
  </si>
  <si>
    <t>39559921153</t>
  </si>
  <si>
    <t>39559921159</t>
  </si>
  <si>
    <t>39589980055</t>
  </si>
  <si>
    <t>39537103050</t>
  </si>
  <si>
    <t>39537103051</t>
  </si>
  <si>
    <t>39544820051</t>
  </si>
  <si>
    <t>39514904050</t>
  </si>
  <si>
    <t>39562403150</t>
  </si>
  <si>
    <t>39517060050</t>
  </si>
  <si>
    <t>39578150156</t>
  </si>
  <si>
    <t>39571890451</t>
  </si>
  <si>
    <t>39559400050</t>
  </si>
  <si>
    <t>39575100252</t>
  </si>
  <si>
    <t>39589980056</t>
  </si>
  <si>
    <t>39571700050</t>
  </si>
  <si>
    <t>39515500250</t>
  </si>
  <si>
    <t>39575200150</t>
  </si>
  <si>
    <t>39575600150</t>
  </si>
  <si>
    <t>39559910553</t>
  </si>
  <si>
    <t>39553100255</t>
  </si>
  <si>
    <t>39555720050</t>
  </si>
  <si>
    <t>39556850050</t>
  </si>
  <si>
    <t>39511951351</t>
  </si>
  <si>
    <t>39596701850</t>
  </si>
  <si>
    <t>39548310651</t>
  </si>
  <si>
    <t>39548310650</t>
  </si>
  <si>
    <t>39510099540</t>
  </si>
  <si>
    <t>39510099541</t>
  </si>
  <si>
    <t>39510098520</t>
  </si>
  <si>
    <t>39510099197</t>
  </si>
  <si>
    <t>39510098902</t>
  </si>
  <si>
    <t>39510098927</t>
  </si>
  <si>
    <t>39510098903</t>
  </si>
  <si>
    <t>39510098707</t>
  </si>
  <si>
    <t>39510098711</t>
  </si>
  <si>
    <t>39510099294</t>
  </si>
  <si>
    <t>39510099295</t>
  </si>
  <si>
    <t>39510098519</t>
  </si>
  <si>
    <t>39510098804</t>
  </si>
  <si>
    <t>39510098803</t>
  </si>
  <si>
    <t>39510098805</t>
  </si>
  <si>
    <t>39510098807</t>
  </si>
  <si>
    <t>39510098806</t>
  </si>
  <si>
    <t>39549861250</t>
  </si>
  <si>
    <t>39549842450</t>
  </si>
  <si>
    <t>39537320951</t>
  </si>
  <si>
    <t>39577200051</t>
  </si>
  <si>
    <t>39581800052</t>
  </si>
  <si>
    <t>39589230650</t>
  </si>
  <si>
    <t>39556500151</t>
  </si>
  <si>
    <t>39554950151</t>
  </si>
  <si>
    <t>39540754050</t>
  </si>
  <si>
    <t>39552800350</t>
  </si>
  <si>
    <t>39515901452</t>
  </si>
  <si>
    <t>39555690050</t>
  </si>
  <si>
    <t>39551630752</t>
  </si>
  <si>
    <t>39552800356</t>
  </si>
  <si>
    <t>39537060151</t>
  </si>
  <si>
    <t>39558451652</t>
  </si>
  <si>
    <t>39533300850</t>
  </si>
  <si>
    <t>39555700153</t>
  </si>
  <si>
    <t>39552800351</t>
  </si>
  <si>
    <t>39537600050</t>
  </si>
  <si>
    <t>39512290456</t>
  </si>
  <si>
    <t>39522700450</t>
  </si>
  <si>
    <t>39523700350</t>
  </si>
  <si>
    <t>39527040952</t>
  </si>
  <si>
    <t>39544820050</t>
  </si>
  <si>
    <t>39549920067</t>
  </si>
  <si>
    <t>39513202850</t>
  </si>
  <si>
    <t>39524401250</t>
  </si>
  <si>
    <t>39532100056</t>
  </si>
  <si>
    <t>39527210551</t>
  </si>
  <si>
    <t>39527210552</t>
  </si>
  <si>
    <t>39516200350</t>
  </si>
  <si>
    <t>39532301150</t>
  </si>
  <si>
    <t>39529841652</t>
  </si>
  <si>
    <t>39521450750</t>
  </si>
  <si>
    <t>39532100055</t>
  </si>
  <si>
    <t>39538300350</t>
  </si>
  <si>
    <t>39553900152</t>
  </si>
  <si>
    <t>39551380051</t>
  </si>
  <si>
    <t>39516410253</t>
  </si>
  <si>
    <t>39559921052</t>
  </si>
  <si>
    <t>39567070150</t>
  </si>
  <si>
    <t>39538300552</t>
  </si>
  <si>
    <t>39561600050</t>
  </si>
  <si>
    <t>39516100056</t>
  </si>
  <si>
    <t>39527660051</t>
  </si>
  <si>
    <t>39557700250</t>
  </si>
  <si>
    <t>39531100650</t>
  </si>
  <si>
    <t>39538300551</t>
  </si>
  <si>
    <t>39527220451</t>
  </si>
  <si>
    <t>39523101351</t>
  </si>
  <si>
    <t>39524101050</t>
  </si>
  <si>
    <t>39526980352</t>
  </si>
  <si>
    <t>39538300550</t>
  </si>
  <si>
    <t>39526980350</t>
  </si>
  <si>
    <t>39531100850</t>
  </si>
  <si>
    <t>39540754021</t>
  </si>
  <si>
    <t>39510090131</t>
  </si>
  <si>
    <t>39510092424</t>
  </si>
  <si>
    <t>39510090117</t>
  </si>
  <si>
    <t>39510090127</t>
  </si>
  <si>
    <t>39510090128</t>
  </si>
  <si>
    <t>39510090129</t>
  </si>
  <si>
    <t>39510092426</t>
  </si>
  <si>
    <t>39510092203</t>
  </si>
  <si>
    <t>39529842003</t>
  </si>
  <si>
    <t>39546400172</t>
  </si>
  <si>
    <t>39546500271</t>
  </si>
  <si>
    <t>39510090132</t>
  </si>
  <si>
    <t>39510090130</t>
  </si>
  <si>
    <t>39569920011</t>
  </si>
  <si>
    <t>39510092214</t>
  </si>
  <si>
    <t>39510092213</t>
  </si>
  <si>
    <t>39510092216</t>
  </si>
  <si>
    <t>39510090137</t>
  </si>
  <si>
    <t>39510090133</t>
  </si>
  <si>
    <t>39510090135</t>
  </si>
  <si>
    <t>39537002080</t>
  </si>
  <si>
    <t>39537002200</t>
  </si>
  <si>
    <t>39537002270</t>
  </si>
  <si>
    <t>39559921140</t>
  </si>
  <si>
    <t>39510009968</t>
  </si>
  <si>
    <t>39537002074</t>
  </si>
  <si>
    <t>39537003062</t>
  </si>
  <si>
    <t>39537003050</t>
  </si>
  <si>
    <t>39537000400</t>
  </si>
  <si>
    <t>39537000600</t>
  </si>
  <si>
    <t>39537000300</t>
  </si>
  <si>
    <t>39553500070</t>
  </si>
  <si>
    <t>39576000004</t>
  </si>
  <si>
    <t>39537002073</t>
  </si>
  <si>
    <t>39521201790</t>
  </si>
  <si>
    <t>39510092202</t>
  </si>
  <si>
    <t>39558490020</t>
  </si>
  <si>
    <t>39516932210</t>
  </si>
  <si>
    <t>39516932211</t>
  </si>
  <si>
    <t>39549962000</t>
  </si>
  <si>
    <t>39537003057</t>
  </si>
  <si>
    <t>39537003059</t>
  </si>
  <si>
    <t>39537003047</t>
  </si>
  <si>
    <t>39537003058</t>
  </si>
  <si>
    <t>39537004048</t>
  </si>
  <si>
    <t>39537004047</t>
  </si>
  <si>
    <t>39537004046</t>
  </si>
  <si>
    <t>39511508100</t>
  </si>
  <si>
    <t>39537001160</t>
  </si>
  <si>
    <t>39537001164</t>
  </si>
  <si>
    <t>39537001166</t>
  </si>
  <si>
    <t>39537001165</t>
  </si>
  <si>
    <t>39537003068</t>
  </si>
  <si>
    <t>39537003067</t>
  </si>
  <si>
    <t>39537003071</t>
  </si>
  <si>
    <t>39537003066</t>
  </si>
  <si>
    <t>39537003065</t>
  </si>
  <si>
    <t>39537003063</t>
  </si>
  <si>
    <t>39537003045</t>
  </si>
  <si>
    <t>39537003046</t>
  </si>
  <si>
    <t>39537001067</t>
  </si>
  <si>
    <t>39537001068</t>
  </si>
  <si>
    <t>39537001176</t>
  </si>
  <si>
    <t>39537001172</t>
  </si>
  <si>
    <t>39537001168</t>
  </si>
  <si>
    <t>39537001181</t>
  </si>
  <si>
    <t>39537001065</t>
  </si>
  <si>
    <t>39537001066</t>
  </si>
  <si>
    <t>39537001177</t>
  </si>
  <si>
    <t>39537001175</t>
  </si>
  <si>
    <t>39537001161</t>
  </si>
  <si>
    <t>39537001062</t>
  </si>
  <si>
    <t>39537001171</t>
  </si>
  <si>
    <t>39537001167</t>
  </si>
  <si>
    <t>39537001180</t>
  </si>
  <si>
    <t>39537001162</t>
  </si>
  <si>
    <t>39537001060</t>
  </si>
  <si>
    <t>39537001063</t>
  </si>
  <si>
    <t>39537001173</t>
  </si>
  <si>
    <t>39537001090</t>
  </si>
  <si>
    <t>39537001079</t>
  </si>
  <si>
    <t>39537001089</t>
  </si>
  <si>
    <t>39537102760</t>
  </si>
  <si>
    <t>39516930913</t>
  </si>
  <si>
    <t>39527181910</t>
  </si>
  <si>
    <t>39527180903</t>
  </si>
  <si>
    <t>39516932117</t>
  </si>
  <si>
    <t>39527182283</t>
  </si>
  <si>
    <t>39559921018</t>
  </si>
  <si>
    <t>39559910779</t>
  </si>
  <si>
    <t>39559910762</t>
  </si>
  <si>
    <t>39569950475</t>
  </si>
  <si>
    <t>39556270072</t>
  </si>
  <si>
    <t>39559980002</t>
  </si>
  <si>
    <t>39539970180</t>
  </si>
  <si>
    <t>39559910027</t>
  </si>
  <si>
    <t>39539970014</t>
  </si>
  <si>
    <t>39510604149</t>
  </si>
  <si>
    <t>39510092204</t>
  </si>
  <si>
    <t>39516200152</t>
  </si>
  <si>
    <t>39510090070</t>
  </si>
  <si>
    <t>39510005022</t>
  </si>
  <si>
    <t>39510099199</t>
  </si>
  <si>
    <t>39570400550</t>
  </si>
  <si>
    <t>WisDOT Project List with Local cost Share Participation</t>
  </si>
  <si>
    <t>Authorized projects and projects tentatively scheduled through Dec. 31, 2026</t>
  </si>
  <si>
    <t>List is sorted by Local Municipality and Project ID</t>
  </si>
  <si>
    <t>Report date June 22,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</si>
</sst>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Fill="1"/>
    <xf numFmtId="0" fontId="0" fillId="0" borderId="10" xfId="0" applyBorder="1"/>
    <xf numFmtId="0" fontId="0" fillId="0" borderId="10" xfId="0" applyFill="1" applyBorder="1"/>
    <xf numFmtId="0" fontId="0" fillId="0" borderId="11" xfId="0" applyBorder="1"/>
    <xf numFmtId="0" fontId="0" fillId="0" borderId="11" xfId="0" applyFill="1" applyBorder="1"/>
    <xf numFmtId="0" fontId="16" fillId="33" borderId="12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D3937-7DB7-472D-9B30-05C6700F4106}">
  <dimension ref="A1:I7532"/>
  <sheetViews>
    <sheetView tabSelected="1" workbookViewId="0">
      <selection activeCell="A4" sqref="A4"/>
    </sheetView>
  </sheetViews>
  <sheetFormatPr defaultColWidth="9.26953125" defaultRowHeight="14.5" x14ac:dyDescent="0.35"/>
  <cols>
    <col min="1" max="1" width="28.54296875" bestFit="1" customWidth="1"/>
    <col min="2" max="2" width="53.1796875" bestFit="1" customWidth="1"/>
    <col min="3" max="3" width="16.54296875" bestFit="1" customWidth="1"/>
    <col min="4" max="4" width="10.81640625" bestFit="1" customWidth="1"/>
    <col min="5" max="5" width="42.7265625" style="1" bestFit="1" customWidth="1"/>
    <col min="6" max="6" width="42.26953125" style="1" bestFit="1" customWidth="1"/>
    <col min="7" max="7" width="42.7265625" style="1" bestFit="1" customWidth="1"/>
    <col min="8" max="8" width="9.81640625" bestFit="1" customWidth="1"/>
    <col min="9" max="9" width="10" bestFit="1" customWidth="1"/>
  </cols>
  <sheetData>
    <row r="1" spans="1:9" x14ac:dyDescent="0.35">
      <c r="A1" t="s">
        <v>3432</v>
      </c>
    </row>
    <row r="2" spans="1:9" x14ac:dyDescent="0.35">
      <c r="A2" t="s">
        <v>3434</v>
      </c>
    </row>
    <row r="3" spans="1:9" x14ac:dyDescent="0.35">
      <c r="A3" t="s">
        <v>3433</v>
      </c>
    </row>
    <row r="4" spans="1:9" x14ac:dyDescent="0.35">
      <c r="A4" t="s">
        <v>3435</v>
      </c>
    </row>
    <row r="5" spans="1:9" ht="15" thickBot="1" x14ac:dyDescent="0.4"/>
    <row r="6" spans="1:9" ht="15.5" thickTop="1" thickBot="1" x14ac:dyDescent="0.4">
      <c r="A6" s="6" t="str">
        <f>CLEAN("COUNTY")</f>
        <v>COUNTY</v>
      </c>
      <c r="B6" s="6" t="str">
        <f>CLEAN("LOC_PAYEE")</f>
        <v>LOC_PAYEE</v>
      </c>
      <c r="C6" s="6" t="s">
        <v>0</v>
      </c>
      <c r="D6" s="6" t="str">
        <f>CLEAN("PROJECT ID")</f>
        <v>PROJECT ID</v>
      </c>
      <c r="E6" s="6" t="str">
        <f>CLEAN("TITLE")</f>
        <v>TITLE</v>
      </c>
      <c r="F6" s="6" t="str">
        <f>CLEAN("LIMIT")</f>
        <v>LIMIT</v>
      </c>
      <c r="G6" s="6" t="str">
        <f>CLEAN("CONCEPT")</f>
        <v>CONCEPT</v>
      </c>
      <c r="H6" s="6" t="str">
        <f>CLEAN("ROUTE")</f>
        <v>ROUTE</v>
      </c>
      <c r="I6" s="6" t="str">
        <f>CLEAN("SUB_PGM")</f>
        <v>SUB_PGM</v>
      </c>
    </row>
    <row r="7" spans="1:9" x14ac:dyDescent="0.35">
      <c r="A7" s="4" t="str">
        <f>CLEAN("KEWAUNEE")</f>
        <v>KEWAUNEE</v>
      </c>
      <c r="B7" s="4" t="str">
        <f>CLEAN("ALGOMA SCHOOL DISTRICT")</f>
        <v>ALGOMA SCHOOL DISTRICT</v>
      </c>
      <c r="C7" s="4" t="s">
        <v>3346</v>
      </c>
      <c r="D7" s="4" t="str">
        <f>CLEAN("1009-01-33")</f>
        <v>1009-01-33</v>
      </c>
      <c r="E7" s="5" t="str">
        <f>CLEAN("Algoma Schools SRTS PRogram")</f>
        <v>Algoma Schools SRTS PRogram</v>
      </c>
      <c r="F7" s="5" t="str">
        <f>CLEAN("ALGOMA AREA SCHOOLS")</f>
        <v>ALGOMA AREA SCHOOLS</v>
      </c>
      <c r="G7" s="5" t="str">
        <f>CLEAN("SRTS PROGRAMING")</f>
        <v>SRTS PROGRAMING</v>
      </c>
      <c r="H7" s="4" t="str">
        <f>CLEAN("NON HWY")</f>
        <v>NON HWY</v>
      </c>
      <c r="I7" s="4" t="str">
        <f>CLEAN("290")</f>
        <v>290</v>
      </c>
    </row>
    <row r="8" spans="1:9" x14ac:dyDescent="0.35">
      <c r="A8" s="2" t="str">
        <f>CLEAN("STATEWIDE")</f>
        <v>STATEWIDE</v>
      </c>
      <c r="B8" s="2" t="str">
        <f>CLEAN("ALLIANT ENERGY CENTER")</f>
        <v>ALLIANT ENERGY CENTER</v>
      </c>
      <c r="C8" s="2" t="s">
        <v>1379</v>
      </c>
      <c r="D8" s="2" t="str">
        <f>CLEAN("1000-20-78")</f>
        <v>1000-20-78</v>
      </c>
      <c r="E8" s="3" t="str">
        <f>CLEAN("STATEWIDE TYPE 1 SIGN REPLACEMENT")</f>
        <v>STATEWIDE TYPE 1 SIGN REPLACEMENT</v>
      </c>
      <c r="F8" s="3" t="str">
        <f>CLEAN("LOCATIONS ON STN PER ANNUAL PLAN")</f>
        <v>LOCATIONS ON STN PER ANNUAL PLAN</v>
      </c>
      <c r="G8" s="3" t="str">
        <f>CLEAN("CONSTRUCTION/SIGN REPLACEMENTS")</f>
        <v>CONSTRUCTION/SIGN REPLACEMENTS</v>
      </c>
      <c r="H8" s="2" t="str">
        <f>CLEAN("VAR HWY")</f>
        <v>VAR HWY</v>
      </c>
      <c r="I8" s="2" t="str">
        <f>CLEAN("305")</f>
        <v>305</v>
      </c>
    </row>
    <row r="9" spans="1:9" x14ac:dyDescent="0.35">
      <c r="A9" s="2" t="str">
        <f t="shared" ref="A9:A15" si="0">CLEAN("ASHLAND")</f>
        <v>ASHLAND</v>
      </c>
      <c r="B9" s="2" t="str">
        <f t="shared" ref="B9:B15" si="1">CLEAN("ASHLAND COUNTY")</f>
        <v>ASHLAND COUNTY</v>
      </c>
      <c r="C9" s="2" t="s">
        <v>1574</v>
      </c>
      <c r="D9" s="2" t="str">
        <f>CLEAN("8310-00-00")</f>
        <v>8310-00-00</v>
      </c>
      <c r="E9" s="3" t="str">
        <f>CLEAN("T WHITE RIVER  ENSINGER RD")</f>
        <v>T WHITE RIVER  ENSINGER RD</v>
      </c>
      <c r="F9" s="3" t="str">
        <f>CLEAN("BRUNSWEILER RIVER BRIDGE P-02-0016")</f>
        <v>BRUNSWEILER RIVER BRIDGE P-02-0016</v>
      </c>
      <c r="G9" s="3" t="str">
        <f>CLEAN("DESIGN - FULL PS&amp;E/BRRPL")</f>
        <v>DESIGN - FULL PS&amp;E/BRRPL</v>
      </c>
      <c r="H9" s="2" t="str">
        <f>CLEAN("LOC STR")</f>
        <v>LOC STR</v>
      </c>
      <c r="I9" s="2" t="str">
        <f>CLEAN("205")</f>
        <v>205</v>
      </c>
    </row>
    <row r="10" spans="1:9" x14ac:dyDescent="0.35">
      <c r="A10" s="2" t="str">
        <f t="shared" si="0"/>
        <v>ASHLAND</v>
      </c>
      <c r="B10" s="2" t="str">
        <f t="shared" si="1"/>
        <v>ASHLAND COUNTY</v>
      </c>
      <c r="C10" s="2" t="s">
        <v>1673</v>
      </c>
      <c r="D10" s="2" t="str">
        <f>CLEAN("8530-00-04")</f>
        <v>8530-00-04</v>
      </c>
      <c r="E10" s="3" t="str">
        <f>CLEAN("CLAM LAKE - MELLEN")</f>
        <v>CLAM LAKE - MELLEN</v>
      </c>
      <c r="F10" s="3" t="str">
        <f>CLEAN("CTH M TO SPIDER CREEK")</f>
        <v>CTH M TO SPIDER CREEK</v>
      </c>
      <c r="G10" s="3" t="str">
        <f>CLEAN("DESIGN - FULL PS&amp;E/RESURFACE FLAP")</f>
        <v>DESIGN - FULL PS&amp;E/RESURFACE FLAP</v>
      </c>
      <c r="H10" s="2" t="str">
        <f>CLEAN("CTH GG")</f>
        <v>CTH GG</v>
      </c>
      <c r="I10" s="2" t="str">
        <f>CLEAN("206")</f>
        <v>206</v>
      </c>
    </row>
    <row r="11" spans="1:9" x14ac:dyDescent="0.35">
      <c r="A11" s="2" t="str">
        <f t="shared" si="0"/>
        <v>ASHLAND</v>
      </c>
      <c r="B11" s="2" t="str">
        <f t="shared" si="1"/>
        <v>ASHLAND COUNTY</v>
      </c>
      <c r="C11" s="2" t="s">
        <v>1599</v>
      </c>
      <c r="D11" s="2" t="str">
        <f>CLEAN("8530-00-05")</f>
        <v>8530-00-05</v>
      </c>
      <c r="E11" s="3" t="str">
        <f>CLEAN("CLAM LAKE - MELLEN")</f>
        <v>CLAM LAKE - MELLEN</v>
      </c>
      <c r="F11" s="3" t="str">
        <f>CLEAN("MCCARTHY CREEK BRIDGE B-02-0423")</f>
        <v>MCCARTHY CREEK BRIDGE B-02-0423</v>
      </c>
      <c r="G11" s="3" t="str">
        <f>CLEAN("DESIGN - FULL PS&amp;E/BRRPL")</f>
        <v>DESIGN - FULL PS&amp;E/BRRPL</v>
      </c>
      <c r="H11" s="2" t="str">
        <f>CLEAN("CTH GG")</f>
        <v>CTH GG</v>
      </c>
      <c r="I11" s="2" t="str">
        <f>CLEAN("205")</f>
        <v>205</v>
      </c>
    </row>
    <row r="12" spans="1:9" x14ac:dyDescent="0.35">
      <c r="A12" s="2" t="str">
        <f t="shared" si="0"/>
        <v>ASHLAND</v>
      </c>
      <c r="B12" s="2" t="str">
        <f t="shared" si="1"/>
        <v>ASHLAND COUNTY</v>
      </c>
      <c r="C12" s="2" t="s">
        <v>1368</v>
      </c>
      <c r="D12" s="2" t="str">
        <f>CLEAN("8530-00-74")</f>
        <v>8530-00-74</v>
      </c>
      <c r="E12" s="3" t="str">
        <f>CLEAN("CLAM LAKE - MELLEN")</f>
        <v>CLAM LAKE - MELLEN</v>
      </c>
      <c r="F12" s="3" t="str">
        <f>CLEAN("CTH M TO SPIDER CREEK")</f>
        <v>CTH M TO SPIDER CREEK</v>
      </c>
      <c r="G12" s="3" t="str">
        <f>CLEAN("CONSTRUCTION/RESURFACING - FLAP")</f>
        <v>CONSTRUCTION/RESURFACING - FLAP</v>
      </c>
      <c r="H12" s="2" t="str">
        <f>CLEAN("CTH GG")</f>
        <v>CTH GG</v>
      </c>
      <c r="I12" s="2" t="str">
        <f>CLEAN("206")</f>
        <v>206</v>
      </c>
    </row>
    <row r="13" spans="1:9" x14ac:dyDescent="0.35">
      <c r="A13" s="2" t="str">
        <f t="shared" si="0"/>
        <v>ASHLAND</v>
      </c>
      <c r="B13" s="2" t="str">
        <f t="shared" si="1"/>
        <v>ASHLAND COUNTY</v>
      </c>
      <c r="C13" s="2" t="s">
        <v>1251</v>
      </c>
      <c r="D13" s="2" t="str">
        <f>CLEAN("8530-00-75")</f>
        <v>8530-00-75</v>
      </c>
      <c r="E13" s="3" t="str">
        <f>CLEAN("CLAM LAKE - MELLEN")</f>
        <v>CLAM LAKE - MELLEN</v>
      </c>
      <c r="F13" s="3" t="str">
        <f>CLEAN("MCCARTHY CREEK BRIDGE B-02-0075")</f>
        <v>MCCARTHY CREEK BRIDGE B-02-0075</v>
      </c>
      <c r="G13" s="3" t="str">
        <f>CLEAN("CONSTRUCTION/BRRPL")</f>
        <v>CONSTRUCTION/BRRPL</v>
      </c>
      <c r="H13" s="2" t="str">
        <f>CLEAN("CTH GG")</f>
        <v>CTH GG</v>
      </c>
      <c r="I13" s="2" t="str">
        <f>CLEAN("205")</f>
        <v>205</v>
      </c>
    </row>
    <row r="14" spans="1:9" x14ac:dyDescent="0.35">
      <c r="A14" s="2" t="str">
        <f t="shared" si="0"/>
        <v>ASHLAND</v>
      </c>
      <c r="B14" s="2" t="str">
        <f t="shared" si="1"/>
        <v>ASHLAND COUNTY</v>
      </c>
      <c r="C14" s="2" t="s">
        <v>1544</v>
      </c>
      <c r="D14" s="2" t="str">
        <f>CLEAN("8726-00-00")</f>
        <v>8726-00-00</v>
      </c>
      <c r="E14" s="3" t="str">
        <f>CLEAN("USH 63 - STH 112")</f>
        <v>USH 63 - STH 112</v>
      </c>
      <c r="F14" s="3" t="str">
        <f>CLEAN("ASHLAND/BAYFIELD ROAD TO STH 112")</f>
        <v>ASHLAND/BAYFIELD ROAD TO STH 112</v>
      </c>
      <c r="G14" s="3" t="str">
        <f>CLEAN("DESIGN - FULL PS&amp;E RESURFACE")</f>
        <v>DESIGN - FULL PS&amp;E RESURFACE</v>
      </c>
      <c r="H14" s="2" t="str">
        <f>CLEAN("CTH E")</f>
        <v>CTH E</v>
      </c>
      <c r="I14" s="2" t="str">
        <f>CLEAN("206")</f>
        <v>206</v>
      </c>
    </row>
    <row r="15" spans="1:9" x14ac:dyDescent="0.35">
      <c r="A15" s="2" t="str">
        <f t="shared" si="0"/>
        <v>ASHLAND</v>
      </c>
      <c r="B15" s="2" t="str">
        <f t="shared" si="1"/>
        <v>ASHLAND COUNTY</v>
      </c>
      <c r="C15" s="2" t="s">
        <v>1339</v>
      </c>
      <c r="D15" s="2" t="str">
        <f>CLEAN("8726-00-70")</f>
        <v>8726-00-70</v>
      </c>
      <c r="E15" s="3" t="str">
        <f>CLEAN("USH 63 - STH 112")</f>
        <v>USH 63 - STH 112</v>
      </c>
      <c r="F15" s="3" t="str">
        <f>CLEAN("ASHLAND/BAYFIELD ROAD TO STH 112")</f>
        <v>ASHLAND/BAYFIELD ROAD TO STH 112</v>
      </c>
      <c r="G15" s="3" t="str">
        <f>CLEAN("CONSTRUCTION/RESURFACE")</f>
        <v>CONSTRUCTION/RESURFACE</v>
      </c>
      <c r="H15" s="2" t="str">
        <f>CLEAN("CTH E")</f>
        <v>CTH E</v>
      </c>
      <c r="I15" s="2" t="str">
        <f>CLEAN("206")</f>
        <v>206</v>
      </c>
    </row>
    <row r="16" spans="1:9" x14ac:dyDescent="0.35">
      <c r="A16" s="2" t="str">
        <f>CLEAN("MILWAUKEE")</f>
        <v>MILWAUKEE</v>
      </c>
      <c r="B16" s="2" t="str">
        <f>CLEAN("AT &amp; T")</f>
        <v>AT &amp; T</v>
      </c>
      <c r="C16" s="2" t="s">
        <v>822</v>
      </c>
      <c r="D16" s="2" t="str">
        <f>CLEAN("1060-27-74")</f>
        <v>1060-27-74</v>
      </c>
      <c r="E16" s="3" t="str">
        <f>CLEAN("I-94 EAST WEST  EARLY EAST LEG")</f>
        <v>I-94 EAST WEST  EARLY EAST LEG</v>
      </c>
      <c r="F16" s="3" t="str">
        <f>CLEAN("30TH STREET TO 25TH STREET")</f>
        <v>30TH STREET TO 25TH STREET</v>
      </c>
      <c r="G16" s="3" t="str">
        <f>CLEAN("CONST/RECST")</f>
        <v>CONST/RECST</v>
      </c>
      <c r="H16" s="2" t="str">
        <f>CLEAN("IH  094")</f>
        <v>IH  094</v>
      </c>
      <c r="I16" s="2" t="str">
        <f>CLEAN("301EW")</f>
        <v>301EW</v>
      </c>
    </row>
    <row r="17" spans="1:9" x14ac:dyDescent="0.35">
      <c r="A17" s="2" t="str">
        <f>CLEAN("MILWAUKEE")</f>
        <v>MILWAUKEE</v>
      </c>
      <c r="B17" s="2" t="str">
        <f>CLEAN("AT &amp; T")</f>
        <v>AT &amp; T</v>
      </c>
      <c r="C17" s="2" t="s">
        <v>364</v>
      </c>
      <c r="D17" s="2" t="str">
        <f>CLEAN("1360-12-70")</f>
        <v>1360-12-70</v>
      </c>
      <c r="E17" s="3" t="str">
        <f>CLEAN("C MILWAUKEE  FOND DU LAC AVE")</f>
        <v>C MILWAUKEE  FOND DU LAC AVE</v>
      </c>
      <c r="F17" s="3" t="str">
        <f>CLEAN("107TH ST BRIDGE")</f>
        <v>107TH ST BRIDGE</v>
      </c>
      <c r="G17" s="3" t="str">
        <f>CLEAN("CONST/B-40-252")</f>
        <v>CONST/B-40-252</v>
      </c>
      <c r="H17" s="2" t="str">
        <f>CLEAN("STH 145")</f>
        <v>STH 145</v>
      </c>
      <c r="I17" s="2" t="str">
        <f>CLEAN("303")</f>
        <v>303</v>
      </c>
    </row>
    <row r="18" spans="1:9" x14ac:dyDescent="0.35">
      <c r="A18" s="2" t="str">
        <f>CLEAN("RACINE")</f>
        <v>RACINE</v>
      </c>
      <c r="B18" s="2" t="str">
        <f>CLEAN("AT &amp; T")</f>
        <v>AT &amp; T</v>
      </c>
      <c r="C18" s="2" t="s">
        <v>426</v>
      </c>
      <c r="D18" s="2" t="str">
        <f>CLEAN("2290-03-73")</f>
        <v>2290-03-73</v>
      </c>
      <c r="E18" s="3" t="str">
        <f>CLEAN("RACINE - MILWAUKEE")</f>
        <v>RACINE - MILWAUKEE</v>
      </c>
      <c r="F18" s="3" t="str">
        <f>CLEAN("BRIDGE OVER ROOT RIVER B-51-0012")</f>
        <v>BRIDGE OVER ROOT RIVER B-51-0012</v>
      </c>
      <c r="G18" s="3" t="str">
        <f>CLEAN("CONST/BRIDGE REPLACEMENT")</f>
        <v>CONST/BRIDGE REPLACEMENT</v>
      </c>
      <c r="H18" s="2" t="str">
        <f>CLEAN("STH 038")</f>
        <v>STH 038</v>
      </c>
      <c r="I18" s="2" t="str">
        <f>CLEAN("303")</f>
        <v>303</v>
      </c>
    </row>
    <row r="19" spans="1:9" x14ac:dyDescent="0.35">
      <c r="A19" s="2" t="str">
        <f t="shared" ref="A19:A40" si="2">CLEAN("BARRON")</f>
        <v>BARRON</v>
      </c>
      <c r="B19" s="2" t="str">
        <f t="shared" ref="B19:B40" si="3">CLEAN("BARRON COUNTY")</f>
        <v>BARRON COUNTY</v>
      </c>
      <c r="C19" s="2" t="s">
        <v>1594</v>
      </c>
      <c r="D19" s="2" t="str">
        <f>CLEAN("8311-00-00")</f>
        <v>8311-00-00</v>
      </c>
      <c r="E19" s="3" t="str">
        <f>CLEAN("T ALMENA  15 1/2 AVENUE")</f>
        <v>T ALMENA  15 1/2 AVENUE</v>
      </c>
      <c r="F19" s="3" t="str">
        <f>CLEAN("LIGHTNING CREEK BRIDGE P-03-0954")</f>
        <v>LIGHTNING CREEK BRIDGE P-03-0954</v>
      </c>
      <c r="G19" s="3" t="str">
        <f>CLEAN("DESIGN - FULL PS&amp;E/BRRPL")</f>
        <v>DESIGN - FULL PS&amp;E/BRRPL</v>
      </c>
      <c r="H19" s="2" t="str">
        <f t="shared" ref="H19:H32" si="4">CLEAN("LOC STR")</f>
        <v>LOC STR</v>
      </c>
      <c r="I19" s="2" t="str">
        <f t="shared" ref="I19:I32" si="5">CLEAN("205")</f>
        <v>205</v>
      </c>
    </row>
    <row r="20" spans="1:9" x14ac:dyDescent="0.35">
      <c r="A20" s="2" t="str">
        <f t="shared" si="2"/>
        <v>BARRON</v>
      </c>
      <c r="B20" s="2" t="str">
        <f t="shared" si="3"/>
        <v>BARRON COUNTY</v>
      </c>
      <c r="C20" s="2" t="s">
        <v>1249</v>
      </c>
      <c r="D20" s="2" t="str">
        <f>CLEAN("8311-00-70")</f>
        <v>8311-00-70</v>
      </c>
      <c r="E20" s="3" t="str">
        <f>CLEAN("T ALMENA  15 1/2 AVENUE")</f>
        <v>T ALMENA  15 1/2 AVENUE</v>
      </c>
      <c r="F20" s="3" t="str">
        <f>CLEAN("LIGHTNING CREEK BRIDGE B-03-0221")</f>
        <v>LIGHTNING CREEK BRIDGE B-03-0221</v>
      </c>
      <c r="G20" s="3" t="str">
        <f>CLEAN("CONSTRUCTION/BRRPL")</f>
        <v>CONSTRUCTION/BRRPL</v>
      </c>
      <c r="H20" s="2" t="str">
        <f t="shared" si="4"/>
        <v>LOC STR</v>
      </c>
      <c r="I20" s="2" t="str">
        <f t="shared" si="5"/>
        <v>205</v>
      </c>
    </row>
    <row r="21" spans="1:9" x14ac:dyDescent="0.35">
      <c r="A21" s="2" t="str">
        <f t="shared" si="2"/>
        <v>BARRON</v>
      </c>
      <c r="B21" s="2" t="str">
        <f t="shared" si="3"/>
        <v>BARRON COUNTY</v>
      </c>
      <c r="C21" s="2" t="s">
        <v>1567</v>
      </c>
      <c r="D21" s="2" t="str">
        <f>CLEAN("8313-00-00")</f>
        <v>8313-00-00</v>
      </c>
      <c r="E21" s="3" t="str">
        <f>CLEAN("T BARRON  14 1/2 AVENUE")</f>
        <v>T BARRON  14 1/2 AVENUE</v>
      </c>
      <c r="F21" s="3" t="str">
        <f>CLEAN("BARKER CREEK BRIDGE P-03-0094")</f>
        <v>BARKER CREEK BRIDGE P-03-0094</v>
      </c>
      <c r="G21" s="3" t="str">
        <f>CLEAN("DESIGN - FULL PS&amp;E/BRRPL")</f>
        <v>DESIGN - FULL PS&amp;E/BRRPL</v>
      </c>
      <c r="H21" s="2" t="str">
        <f t="shared" si="4"/>
        <v>LOC STR</v>
      </c>
      <c r="I21" s="2" t="str">
        <f t="shared" si="5"/>
        <v>205</v>
      </c>
    </row>
    <row r="22" spans="1:9" x14ac:dyDescent="0.35">
      <c r="A22" s="2" t="str">
        <f t="shared" si="2"/>
        <v>BARRON</v>
      </c>
      <c r="B22" s="2" t="str">
        <f t="shared" si="3"/>
        <v>BARRON COUNTY</v>
      </c>
      <c r="C22" s="2" t="s">
        <v>1229</v>
      </c>
      <c r="D22" s="2" t="str">
        <f>CLEAN("8313-00-70")</f>
        <v>8313-00-70</v>
      </c>
      <c r="E22" s="3" t="str">
        <f>CLEAN("T BARRON  14 1/2 AVENUE")</f>
        <v>T BARRON  14 1/2 AVENUE</v>
      </c>
      <c r="F22" s="3" t="str">
        <f>CLEAN("BARKER CREEK BRIDGE B-03-0222")</f>
        <v>BARKER CREEK BRIDGE B-03-0222</v>
      </c>
      <c r="G22" s="3" t="str">
        <f>CLEAN("CONSTRUCTION/BRRPL")</f>
        <v>CONSTRUCTION/BRRPL</v>
      </c>
      <c r="H22" s="2" t="str">
        <f t="shared" si="4"/>
        <v>LOC STR</v>
      </c>
      <c r="I22" s="2" t="str">
        <f t="shared" si="5"/>
        <v>205</v>
      </c>
    </row>
    <row r="23" spans="1:9" x14ac:dyDescent="0.35">
      <c r="A23" s="2" t="str">
        <f t="shared" si="2"/>
        <v>BARRON</v>
      </c>
      <c r="B23" s="2" t="str">
        <f t="shared" si="3"/>
        <v>BARRON COUNTY</v>
      </c>
      <c r="C23" s="2" t="s">
        <v>1842</v>
      </c>
      <c r="D23" s="2" t="str">
        <f>CLEAN("8317-00-00")</f>
        <v>8317-00-00</v>
      </c>
      <c r="E23" s="3" t="str">
        <f>CLEAN("T CLINTON  17TH AVENUE")</f>
        <v>T CLINTON  17TH AVENUE</v>
      </c>
      <c r="F23" s="3" t="str">
        <f>CLEAN("HAY RIVER BRIDGE P030101")</f>
        <v>HAY RIVER BRIDGE P030101</v>
      </c>
      <c r="G23" s="3" t="str">
        <f>CLEAN("DESIGN/BRRPL")</f>
        <v>DESIGN/BRRPL</v>
      </c>
      <c r="H23" s="2" t="str">
        <f t="shared" si="4"/>
        <v>LOC STR</v>
      </c>
      <c r="I23" s="2" t="str">
        <f t="shared" si="5"/>
        <v>205</v>
      </c>
    </row>
    <row r="24" spans="1:9" x14ac:dyDescent="0.35">
      <c r="A24" s="2" t="str">
        <f t="shared" si="2"/>
        <v>BARRON</v>
      </c>
      <c r="B24" s="2" t="str">
        <f t="shared" si="3"/>
        <v>BARRON COUNTY</v>
      </c>
      <c r="C24" s="2" t="s">
        <v>1247</v>
      </c>
      <c r="D24" s="2" t="str">
        <f>CLEAN("8317-00-70")</f>
        <v>8317-00-70</v>
      </c>
      <c r="E24" s="3" t="str">
        <f>CLEAN("T CLINTON  17TH AVENUE")</f>
        <v>T CLINTON  17TH AVENUE</v>
      </c>
      <c r="F24" s="3" t="str">
        <f>CLEAN("HAY RIVER BRIDGE B030207")</f>
        <v>HAY RIVER BRIDGE B030207</v>
      </c>
      <c r="G24" s="3" t="str">
        <f>CLEAN("CONSTRUCTION/BRRPL")</f>
        <v>CONSTRUCTION/BRRPL</v>
      </c>
      <c r="H24" s="2" t="str">
        <f t="shared" si="4"/>
        <v>LOC STR</v>
      </c>
      <c r="I24" s="2" t="str">
        <f t="shared" si="5"/>
        <v>205</v>
      </c>
    </row>
    <row r="25" spans="1:9" x14ac:dyDescent="0.35">
      <c r="A25" s="2" t="str">
        <f t="shared" si="2"/>
        <v>BARRON</v>
      </c>
      <c r="B25" s="2" t="str">
        <f t="shared" si="3"/>
        <v>BARRON COUNTY</v>
      </c>
      <c r="C25" s="2" t="s">
        <v>1839</v>
      </c>
      <c r="D25" s="2" t="str">
        <f>CLEAN("8328-00-00")</f>
        <v>8328-00-00</v>
      </c>
      <c r="E25" s="3" t="str">
        <f>CLEAN("T PRAIRIE FARM  9 1/2-10 1/2 ST")</f>
        <v>T PRAIRIE FARM  9 1/2-10 1/2 ST</v>
      </c>
      <c r="F25" s="3" t="str">
        <f>CLEAN("DORITTY CREEK BRIDGE P030928")</f>
        <v>DORITTY CREEK BRIDGE P030928</v>
      </c>
      <c r="G25" s="3" t="str">
        <f>CLEAN("DESIGN/BRRPL")</f>
        <v>DESIGN/BRRPL</v>
      </c>
      <c r="H25" s="2" t="str">
        <f t="shared" si="4"/>
        <v>LOC STR</v>
      </c>
      <c r="I25" s="2" t="str">
        <f t="shared" si="5"/>
        <v>205</v>
      </c>
    </row>
    <row r="26" spans="1:9" x14ac:dyDescent="0.35">
      <c r="A26" s="2" t="str">
        <f t="shared" si="2"/>
        <v>BARRON</v>
      </c>
      <c r="B26" s="2" t="str">
        <f t="shared" si="3"/>
        <v>BARRON COUNTY</v>
      </c>
      <c r="C26" s="2" t="s">
        <v>1239</v>
      </c>
      <c r="D26" s="2" t="str">
        <f>CLEAN("8328-00-70")</f>
        <v>8328-00-70</v>
      </c>
      <c r="E26" s="3" t="str">
        <f>CLEAN("T PRAIRIE FARM  9 1/2-10 1/2 ST")</f>
        <v>T PRAIRIE FARM  9 1/2-10 1/2 ST</v>
      </c>
      <c r="F26" s="3" t="str">
        <f>CLEAN("DORITTY CREEK BRIDGE B030208")</f>
        <v>DORITTY CREEK BRIDGE B030208</v>
      </c>
      <c r="G26" s="3" t="str">
        <f>CLEAN("CONSTRUCTION/BRRPL")</f>
        <v>CONSTRUCTION/BRRPL</v>
      </c>
      <c r="H26" s="2" t="str">
        <f t="shared" si="4"/>
        <v>LOC STR</v>
      </c>
      <c r="I26" s="2" t="str">
        <f t="shared" si="5"/>
        <v>205</v>
      </c>
    </row>
    <row r="27" spans="1:9" x14ac:dyDescent="0.35">
      <c r="A27" s="2" t="str">
        <f t="shared" si="2"/>
        <v>BARRON</v>
      </c>
      <c r="B27" s="2" t="str">
        <f t="shared" si="3"/>
        <v>BARRON COUNTY</v>
      </c>
      <c r="C27" s="2" t="s">
        <v>1835</v>
      </c>
      <c r="D27" s="2" t="str">
        <f>CLEAN("8333-00-00")</f>
        <v>8333-00-00</v>
      </c>
      <c r="E27" s="3" t="str">
        <f>CLEAN("T SUMNER  28TH STREET")</f>
        <v>T SUMNER  28TH STREET</v>
      </c>
      <c r="F27" s="3" t="str">
        <f>CLEAN("BR ROCK CREEK BRIDGE P030085")</f>
        <v>BR ROCK CREEK BRIDGE P030085</v>
      </c>
      <c r="G27" s="3" t="str">
        <f>CLEAN("DESIGN/BRRPL")</f>
        <v>DESIGN/BRRPL</v>
      </c>
      <c r="H27" s="2" t="str">
        <f t="shared" si="4"/>
        <v>LOC STR</v>
      </c>
      <c r="I27" s="2" t="str">
        <f t="shared" si="5"/>
        <v>205</v>
      </c>
    </row>
    <row r="28" spans="1:9" x14ac:dyDescent="0.35">
      <c r="A28" s="2" t="str">
        <f t="shared" si="2"/>
        <v>BARRON</v>
      </c>
      <c r="B28" s="2" t="str">
        <f t="shared" si="3"/>
        <v>BARRON COUNTY</v>
      </c>
      <c r="C28" s="2" t="s">
        <v>1600</v>
      </c>
      <c r="D28" s="2" t="str">
        <f>CLEAN("8333-00-01")</f>
        <v>8333-00-01</v>
      </c>
      <c r="E28" s="3" t="str">
        <f>CLEAN("T SUMNER  16TH AVENUE")</f>
        <v>T SUMNER  16TH AVENUE</v>
      </c>
      <c r="F28" s="3" t="str">
        <f>CLEAN("MOOSE EAR CREEK BRIDGE P-03-0081")</f>
        <v>MOOSE EAR CREEK BRIDGE P-03-0081</v>
      </c>
      <c r="G28" s="3" t="str">
        <f>CLEAN("DESIGN - FULL PS&amp;E/BRRPL")</f>
        <v>DESIGN - FULL PS&amp;E/BRRPL</v>
      </c>
      <c r="H28" s="2" t="str">
        <f t="shared" si="4"/>
        <v>LOC STR</v>
      </c>
      <c r="I28" s="2" t="str">
        <f t="shared" si="5"/>
        <v>205</v>
      </c>
    </row>
    <row r="29" spans="1:9" x14ac:dyDescent="0.35">
      <c r="A29" s="2" t="str">
        <f t="shared" si="2"/>
        <v>BARRON</v>
      </c>
      <c r="B29" s="2" t="str">
        <f t="shared" si="3"/>
        <v>BARRON COUNTY</v>
      </c>
      <c r="C29" s="2" t="s">
        <v>1234</v>
      </c>
      <c r="D29" s="2" t="str">
        <f>CLEAN("8333-00-70")</f>
        <v>8333-00-70</v>
      </c>
      <c r="E29" s="3" t="str">
        <f>CLEAN("T SUMNER  28TH STREET")</f>
        <v>T SUMNER  28TH STREET</v>
      </c>
      <c r="F29" s="3" t="str">
        <f>CLEAN("BR ROCK CREEK BRIDGE B030209")</f>
        <v>BR ROCK CREEK BRIDGE B030209</v>
      </c>
      <c r="G29" s="3" t="str">
        <f>CLEAN("CONSTRUCTION/BRRPL")</f>
        <v>CONSTRUCTION/BRRPL</v>
      </c>
      <c r="H29" s="2" t="str">
        <f t="shared" si="4"/>
        <v>LOC STR</v>
      </c>
      <c r="I29" s="2" t="str">
        <f t="shared" si="5"/>
        <v>205</v>
      </c>
    </row>
    <row r="30" spans="1:9" x14ac:dyDescent="0.35">
      <c r="A30" s="2" t="str">
        <f t="shared" si="2"/>
        <v>BARRON</v>
      </c>
      <c r="B30" s="2" t="str">
        <f t="shared" si="3"/>
        <v>BARRON COUNTY</v>
      </c>
      <c r="C30" s="2" t="s">
        <v>1853</v>
      </c>
      <c r="D30" s="2" t="str">
        <f>CLEAN("8335-00-00")</f>
        <v>8335-00-00</v>
      </c>
      <c r="E30" s="3" t="str">
        <f>CLEAN("T VANCE CREEK  5TH ST &amp; 1/2 AVE")</f>
        <v>T VANCE CREEK  5TH ST &amp; 1/2 AVE</v>
      </c>
      <c r="F30" s="3" t="str">
        <f>CLEAN("VANCE CREEK BRIDGE P030945")</f>
        <v>VANCE CREEK BRIDGE P030945</v>
      </c>
      <c r="G30" s="3" t="str">
        <f>CLEAN("DESIGN/BRRPL")</f>
        <v>DESIGN/BRRPL</v>
      </c>
      <c r="H30" s="2" t="str">
        <f t="shared" si="4"/>
        <v>LOC STR</v>
      </c>
      <c r="I30" s="2" t="str">
        <f t="shared" si="5"/>
        <v>205</v>
      </c>
    </row>
    <row r="31" spans="1:9" x14ac:dyDescent="0.35">
      <c r="A31" s="2" t="str">
        <f t="shared" si="2"/>
        <v>BARRON</v>
      </c>
      <c r="B31" s="2" t="str">
        <f t="shared" si="3"/>
        <v>BARRON COUNTY</v>
      </c>
      <c r="C31" s="2" t="s">
        <v>1275</v>
      </c>
      <c r="D31" s="2" t="str">
        <f>CLEAN("8335-00-70")</f>
        <v>8335-00-70</v>
      </c>
      <c r="E31" s="3" t="str">
        <f>CLEAN("T VANCE CREEK  5TH ST &amp; 1/2 AVE")</f>
        <v>T VANCE CREEK  5TH ST &amp; 1/2 AVE</v>
      </c>
      <c r="F31" s="3" t="str">
        <f>CLEAN("VANCE CREEK BRIDGE B-03-0210")</f>
        <v>VANCE CREEK BRIDGE B-03-0210</v>
      </c>
      <c r="G31" s="3" t="str">
        <f>CLEAN("CONSTRUCTION/BRRPL")</f>
        <v>CONSTRUCTION/BRRPL</v>
      </c>
      <c r="H31" s="2" t="str">
        <f t="shared" si="4"/>
        <v>LOC STR</v>
      </c>
      <c r="I31" s="2" t="str">
        <f t="shared" si="5"/>
        <v>205</v>
      </c>
    </row>
    <row r="32" spans="1:9" x14ac:dyDescent="0.35">
      <c r="A32" s="2" t="str">
        <f t="shared" si="2"/>
        <v>BARRON</v>
      </c>
      <c r="B32" s="2" t="str">
        <f t="shared" si="3"/>
        <v>BARRON COUNTY</v>
      </c>
      <c r="C32" s="2" t="s">
        <v>1605</v>
      </c>
      <c r="D32" s="2" t="str">
        <f>CLEAN("8347-05-00")</f>
        <v>8347-05-00</v>
      </c>
      <c r="E32" s="3" t="str">
        <f>CLEAN("T CLINTON  15TH AVENUE")</f>
        <v>T CLINTON  15TH AVENUE</v>
      </c>
      <c r="F32" s="3" t="str">
        <f>CLEAN("POND CREEK BRIDGE P-03-0144")</f>
        <v>POND CREEK BRIDGE P-03-0144</v>
      </c>
      <c r="G32" s="3" t="str">
        <f>CLEAN("DESIGN - FULL PS&amp;E/BRRPL")</f>
        <v>DESIGN - FULL PS&amp;E/BRRPL</v>
      </c>
      <c r="H32" s="2" t="str">
        <f t="shared" si="4"/>
        <v>LOC STR</v>
      </c>
      <c r="I32" s="2" t="str">
        <f t="shared" si="5"/>
        <v>205</v>
      </c>
    </row>
    <row r="33" spans="1:9" x14ac:dyDescent="0.35">
      <c r="A33" s="2" t="str">
        <f t="shared" si="2"/>
        <v>BARRON</v>
      </c>
      <c r="B33" s="2" t="str">
        <f t="shared" si="3"/>
        <v>BARRON COUNTY</v>
      </c>
      <c r="C33" s="2" t="s">
        <v>1403</v>
      </c>
      <c r="D33" s="2" t="str">
        <f>CLEAN("8822-00-01")</f>
        <v>8822-00-01</v>
      </c>
      <c r="E33" s="3" t="str">
        <f>CLEAN("PRAIRIE FARM - ALMENA")</f>
        <v>PRAIRIE FARM - ALMENA</v>
      </c>
      <c r="F33" s="3" t="str">
        <f>CLEAN("CTH A NORTH TO 7TH AVE")</f>
        <v>CTH A NORTH TO 7TH AVE</v>
      </c>
      <c r="G33" s="3" t="str">
        <f>CLEAN("DESIGN -  FULL PS&amp;E PVRPLA")</f>
        <v>DESIGN -  FULL PS&amp;E PVRPLA</v>
      </c>
      <c r="H33" s="2" t="str">
        <f>CLEAN("CTH P")</f>
        <v>CTH P</v>
      </c>
      <c r="I33" s="2" t="str">
        <f>CLEAN("206")</f>
        <v>206</v>
      </c>
    </row>
    <row r="34" spans="1:9" x14ac:dyDescent="0.35">
      <c r="A34" s="2" t="str">
        <f t="shared" si="2"/>
        <v>BARRON</v>
      </c>
      <c r="B34" s="2" t="str">
        <f t="shared" si="3"/>
        <v>BARRON COUNTY</v>
      </c>
      <c r="C34" s="2" t="s">
        <v>1404</v>
      </c>
      <c r="D34" s="2" t="str">
        <f>CLEAN("8822-00-02")</f>
        <v>8822-00-02</v>
      </c>
      <c r="E34" s="3" t="str">
        <f>CLEAN("ARLAND - BARRONETT")</f>
        <v>ARLAND - BARRONETT</v>
      </c>
      <c r="F34" s="3" t="str">
        <f>CLEAN("USH 8 TO STH 48")</f>
        <v>USH 8 TO STH 48</v>
      </c>
      <c r="G34" s="3" t="str">
        <f>CLEAN("DESIGN -  FULL PS&amp;E/RECONSTRUCTION")</f>
        <v>DESIGN -  FULL PS&amp;E/RECONSTRUCTION</v>
      </c>
      <c r="H34" s="2" t="str">
        <f>CLEAN("CTH P")</f>
        <v>CTH P</v>
      </c>
      <c r="I34" s="2" t="str">
        <f>CLEAN("206")</f>
        <v>206</v>
      </c>
    </row>
    <row r="35" spans="1:9" x14ac:dyDescent="0.35">
      <c r="A35" s="2" t="str">
        <f t="shared" si="2"/>
        <v>BARRON</v>
      </c>
      <c r="B35" s="2" t="str">
        <f t="shared" si="3"/>
        <v>BARRON COUNTY</v>
      </c>
      <c r="C35" s="2" t="s">
        <v>1127</v>
      </c>
      <c r="D35" s="2" t="str">
        <f>CLEAN("8822-00-71")</f>
        <v>8822-00-71</v>
      </c>
      <c r="E35" s="3" t="str">
        <f>CLEAN("PRAIRIE FARM - ALMENA")</f>
        <v>PRAIRIE FARM - ALMENA</v>
      </c>
      <c r="F35" s="3" t="str">
        <f>CLEAN("CTH A NORTH TO 7TH AVE")</f>
        <v>CTH A NORTH TO 7TH AVE</v>
      </c>
      <c r="G35" s="3" t="str">
        <f>CLEAN("CONSTR/PAVEMENT REPLACEMENT")</f>
        <v>CONSTR/PAVEMENT REPLACEMENT</v>
      </c>
      <c r="H35" s="2" t="str">
        <f>CLEAN("CTH P")</f>
        <v>CTH P</v>
      </c>
      <c r="I35" s="2" t="str">
        <f>CLEAN("206")</f>
        <v>206</v>
      </c>
    </row>
    <row r="36" spans="1:9" x14ac:dyDescent="0.35">
      <c r="A36" s="2" t="str">
        <f t="shared" si="2"/>
        <v>BARRON</v>
      </c>
      <c r="B36" s="2" t="str">
        <f t="shared" si="3"/>
        <v>BARRON COUNTY</v>
      </c>
      <c r="C36" s="2" t="s">
        <v>1584</v>
      </c>
      <c r="D36" s="2" t="str">
        <f>CLEAN("8829-00-03")</f>
        <v>8829-00-03</v>
      </c>
      <c r="E36" s="3" t="str">
        <f>CLEAN("DALLAS - CTH D")</f>
        <v>DALLAS - CTH D</v>
      </c>
      <c r="F36" s="3" t="str">
        <f>CLEAN("E BR UPPER PINE CRK BR P-03-0912")</f>
        <v>E BR UPPER PINE CRK BR P-03-0912</v>
      </c>
      <c r="G36" s="3" t="str">
        <f>CLEAN("DESIGN - FULL PS&amp;E/BRRPL")</f>
        <v>DESIGN - FULL PS&amp;E/BRRPL</v>
      </c>
      <c r="H36" s="2" t="str">
        <f>CLEAN("CTH O")</f>
        <v>CTH O</v>
      </c>
      <c r="I36" s="2" t="str">
        <f>CLEAN("205")</f>
        <v>205</v>
      </c>
    </row>
    <row r="37" spans="1:9" x14ac:dyDescent="0.35">
      <c r="A37" s="2" t="str">
        <f t="shared" si="2"/>
        <v>BARRON</v>
      </c>
      <c r="B37" s="2" t="str">
        <f t="shared" si="3"/>
        <v>BARRON COUNTY</v>
      </c>
      <c r="C37" s="2" t="s">
        <v>1144</v>
      </c>
      <c r="D37" s="2" t="str">
        <f>CLEAN("8829-00-71")</f>
        <v>8829-00-71</v>
      </c>
      <c r="E37" s="3" t="str">
        <f>CLEAN("DALLAS - RICE LAKE")</f>
        <v>DALLAS - RICE LAKE</v>
      </c>
      <c r="F37" s="3" t="str">
        <f>CLEAN("DECKER DRIVE INTERSECTION")</f>
        <v>DECKER DRIVE INTERSECTION</v>
      </c>
      <c r="G37" s="3" t="str">
        <f>CLEAN("CONSTR/SFTY/INTERSECTION IMPRVMNTS")</f>
        <v>CONSTR/SFTY/INTERSECTION IMPRVMNTS</v>
      </c>
      <c r="H37" s="2" t="str">
        <f>CLEAN("CTH O")</f>
        <v>CTH O</v>
      </c>
      <c r="I37" s="2" t="str">
        <f>CLEAN("206")</f>
        <v>206</v>
      </c>
    </row>
    <row r="38" spans="1:9" x14ac:dyDescent="0.35">
      <c r="A38" s="2" t="str">
        <f t="shared" si="2"/>
        <v>BARRON</v>
      </c>
      <c r="B38" s="2" t="str">
        <f t="shared" si="3"/>
        <v>BARRON COUNTY</v>
      </c>
      <c r="C38" s="2" t="s">
        <v>1241</v>
      </c>
      <c r="D38" s="2" t="str">
        <f>CLEAN("8829-00-73")</f>
        <v>8829-00-73</v>
      </c>
      <c r="E38" s="3" t="str">
        <f>CLEAN("DALLAS - CTH D")</f>
        <v>DALLAS - CTH D</v>
      </c>
      <c r="F38" s="3" t="str">
        <f>CLEAN("E BR UPPER PINE CRK BR B-03-0219")</f>
        <v>E BR UPPER PINE CRK BR B-03-0219</v>
      </c>
      <c r="G38" s="3" t="str">
        <f>CLEAN("CONSTRUCTION/BRRPL")</f>
        <v>CONSTRUCTION/BRRPL</v>
      </c>
      <c r="H38" s="2" t="str">
        <f>CLEAN("CTH O")</f>
        <v>CTH O</v>
      </c>
      <c r="I38" s="2" t="str">
        <f>CLEAN("205")</f>
        <v>205</v>
      </c>
    </row>
    <row r="39" spans="1:9" x14ac:dyDescent="0.35">
      <c r="A39" s="2" t="str">
        <f t="shared" si="2"/>
        <v>BARRON</v>
      </c>
      <c r="B39" s="2" t="str">
        <f t="shared" si="3"/>
        <v>BARRON COUNTY</v>
      </c>
      <c r="C39" s="2" t="s">
        <v>1582</v>
      </c>
      <c r="D39" s="2" t="str">
        <f>CLEAN("8835-00-00")</f>
        <v>8835-00-00</v>
      </c>
      <c r="E39" s="3" t="str">
        <f>CLEAN("PRAIRIE FARM - USH 8")</f>
        <v>PRAIRIE FARM - USH 8</v>
      </c>
      <c r="F39" s="3" t="str">
        <f>CLEAN("DORRITY CREEK BRIDGE P-03-0927")</f>
        <v>DORRITY CREEK BRIDGE P-03-0927</v>
      </c>
      <c r="G39" s="3" t="str">
        <f>CLEAN("DESIGN - FULL PS&amp;E/BRRPL")</f>
        <v>DESIGN - FULL PS&amp;E/BRRPL</v>
      </c>
      <c r="H39" s="2" t="str">
        <f>CLEAN("CTH F")</f>
        <v>CTH F</v>
      </c>
      <c r="I39" s="2" t="str">
        <f>CLEAN("205")</f>
        <v>205</v>
      </c>
    </row>
    <row r="40" spans="1:9" x14ac:dyDescent="0.35">
      <c r="A40" s="2" t="str">
        <f t="shared" si="2"/>
        <v>BARRON</v>
      </c>
      <c r="B40" s="2" t="str">
        <f t="shared" si="3"/>
        <v>BARRON COUNTY</v>
      </c>
      <c r="C40" s="2" t="s">
        <v>493</v>
      </c>
      <c r="D40" s="2" t="str">
        <f>CLEAN("8997-00-40")</f>
        <v>8997-00-40</v>
      </c>
      <c r="E40" s="3" t="str">
        <f>CLEAN("C RICE LAKE  SOUTH MAIN STREET")</f>
        <v>C RICE LAKE  SOUTH MAIN STREET</v>
      </c>
      <c r="F40" s="3" t="str">
        <f>CLEAN("RED CEDAR RIVER BRIDGE B030002")</f>
        <v>RED CEDAR RIVER BRIDGE B030002</v>
      </c>
      <c r="G40" s="3" t="str">
        <f>CLEAN("CONST/BRRHB")</f>
        <v>CONST/BRRHB</v>
      </c>
      <c r="H40" s="2" t="str">
        <f>CLEAN("LOC STR")</f>
        <v>LOC STR</v>
      </c>
      <c r="I40" s="2" t="str">
        <f>CLEAN("205")</f>
        <v>205</v>
      </c>
    </row>
    <row r="41" spans="1:9" x14ac:dyDescent="0.35">
      <c r="A41" s="2" t="str">
        <f t="shared" ref="A41:A47" si="6">CLEAN("BAYFIELD")</f>
        <v>BAYFIELD</v>
      </c>
      <c r="B41" s="2" t="str">
        <f t="shared" ref="B41:B47" si="7">CLEAN("BAYFIELD COUNTY")</f>
        <v>BAYFIELD COUNTY</v>
      </c>
      <c r="C41" s="2" t="s">
        <v>1639</v>
      </c>
      <c r="D41" s="2" t="str">
        <f>CLEAN("8351-07-08")</f>
        <v>8351-07-08</v>
      </c>
      <c r="E41" s="3" t="str">
        <f>CLEAN("USH 63 - INO")</f>
        <v>USH 63 - INO</v>
      </c>
      <c r="F41" s="3" t="str">
        <f>CLEAN("USH 63 TO TOWN ROAD 36")</f>
        <v>USH 63 TO TOWN ROAD 36</v>
      </c>
      <c r="G41" s="3" t="str">
        <f>CLEAN("DESIGN - FULL PS&amp;E/PVRPLA")</f>
        <v>DESIGN - FULL PS&amp;E/PVRPLA</v>
      </c>
      <c r="H41" s="2" t="str">
        <f>CLEAN("CTH E")</f>
        <v>CTH E</v>
      </c>
      <c r="I41" s="2" t="str">
        <f>CLEAN("206")</f>
        <v>206</v>
      </c>
    </row>
    <row r="42" spans="1:9" x14ac:dyDescent="0.35">
      <c r="A42" s="2" t="str">
        <f t="shared" si="6"/>
        <v>BAYFIELD</v>
      </c>
      <c r="B42" s="2" t="str">
        <f t="shared" si="7"/>
        <v>BAYFIELD COUNTY</v>
      </c>
      <c r="C42" s="2" t="s">
        <v>3083</v>
      </c>
      <c r="D42" s="2" t="str">
        <f>CLEAN("1000-28-25")</f>
        <v>1000-28-25</v>
      </c>
      <c r="E42" s="3" t="str">
        <f>CLEAN("BAYFIELD COUNTY  VARIOUS LOCATIONS")</f>
        <v>BAYFIELD COUNTY  VARIOUS LOCATIONS</v>
      </c>
      <c r="F42" s="3" t="str">
        <f>CLEAN("BICYCLE AND PEDESTRIAN PLAN")</f>
        <v>BICYCLE AND PEDESTRIAN PLAN</v>
      </c>
      <c r="G42" s="3" t="str">
        <f>CLEAN("PLANNING-BIKE/PEDESTRIAN STUDY-TAP")</f>
        <v>PLANNING-BIKE/PEDESTRIAN STUDY-TAP</v>
      </c>
      <c r="H42" s="2" t="str">
        <f>CLEAN("OFF SYS")</f>
        <v>OFF SYS</v>
      </c>
      <c r="I42" s="2" t="str">
        <f>CLEAN("290")</f>
        <v>290</v>
      </c>
    </row>
    <row r="43" spans="1:9" x14ac:dyDescent="0.35">
      <c r="A43" s="2" t="str">
        <f t="shared" si="6"/>
        <v>BAYFIELD</v>
      </c>
      <c r="B43" s="2" t="str">
        <f t="shared" si="7"/>
        <v>BAYFIELD COUNTY</v>
      </c>
      <c r="C43" s="2" t="s">
        <v>1068</v>
      </c>
      <c r="D43" s="2" t="str">
        <f>CLEAN("8345-00-71")</f>
        <v>8345-00-71</v>
      </c>
      <c r="E43" s="3" t="str">
        <f>CLEAN("BAYFIELD COUNTY  ARGANBRIGHT RD")</f>
        <v>BAYFIELD COUNTY  ARGANBRIGHT RD</v>
      </c>
      <c r="F43" s="3" t="str">
        <f>CLEAN("RITOLA  INC")</f>
        <v>RITOLA  INC</v>
      </c>
      <c r="G43" s="3" t="str">
        <f>CLEAN("CONST/TEA/RECONSTRUCTION")</f>
        <v>CONST/TEA/RECONSTRUCTION</v>
      </c>
      <c r="H43" s="2" t="str">
        <f>CLEAN("LOC STR")</f>
        <v>LOC STR</v>
      </c>
      <c r="I43" s="2" t="str">
        <f>CLEAN("209")</f>
        <v>209</v>
      </c>
    </row>
    <row r="44" spans="1:9" x14ac:dyDescent="0.35">
      <c r="A44" s="2" t="str">
        <f t="shared" si="6"/>
        <v>BAYFIELD</v>
      </c>
      <c r="B44" s="2" t="str">
        <f t="shared" si="7"/>
        <v>BAYFIELD COUNTY</v>
      </c>
      <c r="C44" s="2" t="s">
        <v>1637</v>
      </c>
      <c r="D44" s="2" t="str">
        <f>CLEAN("8349-00-01")</f>
        <v>8349-00-01</v>
      </c>
      <c r="E44" s="3" t="str">
        <f>CLEAN("MASON - MOQUAH")</f>
        <v>MASON - MOQUAH</v>
      </c>
      <c r="F44" s="3" t="str">
        <f>CLEAN("STH 118 TO USH 2")</f>
        <v>STH 118 TO USH 2</v>
      </c>
      <c r="G44" s="3" t="str">
        <f>CLEAN("DESIGN - FULL PS&amp;E/PVRPLA")</f>
        <v>DESIGN - FULL PS&amp;E/PVRPLA</v>
      </c>
      <c r="H44" s="2" t="str">
        <f>CLEAN("CTH F")</f>
        <v>CTH F</v>
      </c>
      <c r="I44" s="2" t="str">
        <f>CLEAN("206")</f>
        <v>206</v>
      </c>
    </row>
    <row r="45" spans="1:9" x14ac:dyDescent="0.35">
      <c r="A45" s="2" t="str">
        <f t="shared" si="6"/>
        <v>BAYFIELD</v>
      </c>
      <c r="B45" s="2" t="str">
        <f t="shared" si="7"/>
        <v>BAYFIELD COUNTY</v>
      </c>
      <c r="C45" s="2" t="s">
        <v>1285</v>
      </c>
      <c r="D45" s="2" t="str">
        <f>CLEAN("8351-08-70")</f>
        <v>8351-08-70</v>
      </c>
      <c r="E45" s="3" t="str">
        <f>CLEAN("BAYFIELD COUNTY  WHITE RIVER AG INC")</f>
        <v>BAYFIELD COUNTY  WHITE RIVER AG INC</v>
      </c>
      <c r="F45" s="3" t="str">
        <f>CLEAN("USH 63 TO NELSON RD")</f>
        <v>USH 63 TO NELSON RD</v>
      </c>
      <c r="G45" s="3" t="str">
        <f>CLEAN("CONSTRUCTION/LLC/TEA")</f>
        <v>CONSTRUCTION/LLC/TEA</v>
      </c>
      <c r="H45" s="2" t="str">
        <f>CLEAN("CTH E")</f>
        <v>CTH E</v>
      </c>
      <c r="I45" s="2" t="str">
        <f>CLEAN("209")</f>
        <v>209</v>
      </c>
    </row>
    <row r="46" spans="1:9" x14ac:dyDescent="0.35">
      <c r="A46" s="2" t="str">
        <f t="shared" si="6"/>
        <v>BAYFIELD</v>
      </c>
      <c r="B46" s="2" t="str">
        <f t="shared" si="7"/>
        <v>BAYFIELD COUNTY</v>
      </c>
      <c r="C46" s="2" t="s">
        <v>1624</v>
      </c>
      <c r="D46" s="2" t="str">
        <f>CLEAN("8740-00-03")</f>
        <v>8740-00-03</v>
      </c>
      <c r="E46" s="3" t="str">
        <f>CLEAN("WASHBURN - CORNUCOPIA")</f>
        <v>WASHBURN - CORNUCOPIA</v>
      </c>
      <c r="F46" s="3" t="str">
        <f>CLEAN("8TH AVENUE TO MCKINLEY RD")</f>
        <v>8TH AVENUE TO MCKINLEY RD</v>
      </c>
      <c r="G46" s="3" t="str">
        <f>CLEAN("DESIGN - FULL PS&amp;E/PVRPLA")</f>
        <v>DESIGN - FULL PS&amp;E/PVRPLA</v>
      </c>
      <c r="H46" s="2" t="str">
        <f>CLEAN("CTH C")</f>
        <v>CTH C</v>
      </c>
      <c r="I46" s="2" t="str">
        <f>CLEAN("206")</f>
        <v>206</v>
      </c>
    </row>
    <row r="47" spans="1:9" x14ac:dyDescent="0.35">
      <c r="A47" s="2" t="str">
        <f t="shared" si="6"/>
        <v>BAYFIELD</v>
      </c>
      <c r="B47" s="2" t="str">
        <f t="shared" si="7"/>
        <v>BAYFIELD COUNTY</v>
      </c>
      <c r="C47" s="2" t="s">
        <v>1509</v>
      </c>
      <c r="D47" s="2" t="str">
        <f>CLEAN("8743-00-00")</f>
        <v>8743-00-00</v>
      </c>
      <c r="E47" s="3" t="str">
        <f>CLEAN("CTH FF - CTH A")</f>
        <v>CTH FF - CTH A</v>
      </c>
      <c r="F47" s="3" t="str">
        <f>CLEAN("CTH FF TO HOOVER LINE ROAD")</f>
        <v>CTH FF TO HOOVER LINE ROAD</v>
      </c>
      <c r="G47" s="3" t="str">
        <f>CLEAN("DESIGN - FULL PS&amp;E PVRPLA")</f>
        <v>DESIGN - FULL PS&amp;E PVRPLA</v>
      </c>
      <c r="H47" s="2" t="str">
        <f>CLEAN("CTH B")</f>
        <v>CTH B</v>
      </c>
      <c r="I47" s="2" t="str">
        <f>CLEAN("206")</f>
        <v>206</v>
      </c>
    </row>
    <row r="48" spans="1:9" x14ac:dyDescent="0.35">
      <c r="A48" s="2" t="str">
        <f>CLEAN("NORTHEAST REGION WIDE")</f>
        <v>NORTHEAST REGION WIDE</v>
      </c>
      <c r="B48" s="2" t="str">
        <f>CLEAN("BAY-LAKE REGIONAL PLANNING COMMISSION")</f>
        <v>BAY-LAKE REGIONAL PLANNING COMMISSION</v>
      </c>
      <c r="C48" s="2" t="s">
        <v>3367</v>
      </c>
      <c r="D48" s="2" t="str">
        <f>CLEAN("4996-20-00")</f>
        <v>4996-20-00</v>
      </c>
      <c r="E48" s="3" t="str">
        <f>CLEAN("Bay Lake RPC Planning Study")</f>
        <v>Bay Lake RPC Planning Study</v>
      </c>
      <c r="F48" s="3" t="str">
        <f>CLEAN("FLORENCE THROUGH SHEBOYGAN COUNTIES")</f>
        <v>FLORENCE THROUGH SHEBOYGAN COUNTIES</v>
      </c>
      <c r="G48" s="3" t="str">
        <f>CLEAN("TRANSPORTATION ACCESS STUDY")</f>
        <v>TRANSPORTATION ACCESS STUDY</v>
      </c>
      <c r="H48" s="2" t="str">
        <f>CLEAN("NON HWY")</f>
        <v>NON HWY</v>
      </c>
      <c r="I48" s="2" t="str">
        <f t="shared" ref="I48:I55" si="8">CLEAN("290")</f>
        <v>290</v>
      </c>
    </row>
    <row r="49" spans="1:9" x14ac:dyDescent="0.35">
      <c r="A49" s="2" t="str">
        <f>CLEAN("ROCK")</f>
        <v>ROCK</v>
      </c>
      <c r="B49" s="2" t="str">
        <f>CLEAN("BELOIT TURNER SCHOOL DISTRICT")</f>
        <v>BELOIT TURNER SCHOOL DISTRICT</v>
      </c>
      <c r="C49" s="2" t="s">
        <v>2931</v>
      </c>
      <c r="D49" s="2" t="str">
        <f>CLEAN("5989-00-76")</f>
        <v>5989-00-76</v>
      </c>
      <c r="E49" s="3" t="str">
        <f>CLEAN("TOWN OF BELOIT  INMAN PARKWAY")</f>
        <v>TOWN OF BELOIT  INMAN PARKWAY</v>
      </c>
      <c r="F49" s="3" t="str">
        <f>CLEAN("USH 51 TO CTH G")</f>
        <v>USH 51 TO CTH G</v>
      </c>
      <c r="G49" s="3" t="str">
        <f>CLEAN("PE/PLAN CHECK REVIEW/SIDEWALK")</f>
        <v>PE/PLAN CHECK REVIEW/SIDEWALK</v>
      </c>
      <c r="H49" s="2" t="str">
        <f>CLEAN("LOC STR")</f>
        <v>LOC STR</v>
      </c>
      <c r="I49" s="2" t="str">
        <f t="shared" si="8"/>
        <v>290</v>
      </c>
    </row>
    <row r="50" spans="1:9" x14ac:dyDescent="0.35">
      <c r="A50" s="2" t="str">
        <f>CLEAN("STATEWIDE")</f>
        <v>STATEWIDE</v>
      </c>
      <c r="B50" s="2" t="str">
        <f t="shared" ref="B50:B55" si="9">CLEAN("BICYCLE FEDERATION OF WI")</f>
        <v>BICYCLE FEDERATION OF WI</v>
      </c>
      <c r="C50" s="2" t="s">
        <v>3331</v>
      </c>
      <c r="D50" s="2" t="str">
        <f>CLEAN("1009-01-27")</f>
        <v>1009-01-27</v>
      </c>
      <c r="E50" s="3" t="str">
        <f>CLEAN("WI Bike Fed Dane Co SRTS Yr 1")</f>
        <v>WI Bike Fed Dane Co SRTS Yr 1</v>
      </c>
      <c r="F50" s="3" t="str">
        <f>CLEAN("DANE COUNTY")</f>
        <v>DANE COUNTY</v>
      </c>
      <c r="G50" s="3" t="str">
        <f>CLEAN("SAFE ROUTES TO SCHOOL YR 1 OF 2")</f>
        <v>SAFE ROUTES TO SCHOOL YR 1 OF 2</v>
      </c>
      <c r="H50" s="2" t="str">
        <f>CLEAN("VAR HWY")</f>
        <v>VAR HWY</v>
      </c>
      <c r="I50" s="2" t="str">
        <f t="shared" si="8"/>
        <v>290</v>
      </c>
    </row>
    <row r="51" spans="1:9" x14ac:dyDescent="0.35">
      <c r="A51" s="2" t="str">
        <f>CLEAN("STATEWIDE")</f>
        <v>STATEWIDE</v>
      </c>
      <c r="B51" s="2" t="str">
        <f t="shared" si="9"/>
        <v>BICYCLE FEDERATION OF WI</v>
      </c>
      <c r="C51" s="2" t="s">
        <v>3332</v>
      </c>
      <c r="D51" s="2" t="str">
        <f>CLEAN("1009-01-28")</f>
        <v>1009-01-28</v>
      </c>
      <c r="E51" s="3" t="str">
        <f>CLEAN("WI Bike Fed Dane Co SRTS Yr 2")</f>
        <v>WI Bike Fed Dane Co SRTS Yr 2</v>
      </c>
      <c r="F51" s="3" t="str">
        <f>CLEAN("DANE CO SAFE ROUTES TO SCHOOL")</f>
        <v>DANE CO SAFE ROUTES TO SCHOOL</v>
      </c>
      <c r="G51" s="3" t="str">
        <f>CLEAN("SAFE ROUTES TO SCHOOL YR 2 OF 2")</f>
        <v>SAFE ROUTES TO SCHOOL YR 2 OF 2</v>
      </c>
      <c r="H51" s="2" t="str">
        <f>CLEAN("VAR HWY")</f>
        <v>VAR HWY</v>
      </c>
      <c r="I51" s="2" t="str">
        <f t="shared" si="8"/>
        <v>290</v>
      </c>
    </row>
    <row r="52" spans="1:9" x14ac:dyDescent="0.35">
      <c r="A52" s="2" t="str">
        <f>CLEAN("DANE")</f>
        <v>DANE</v>
      </c>
      <c r="B52" s="2" t="str">
        <f t="shared" si="9"/>
        <v>BICYCLE FEDERATION OF WI</v>
      </c>
      <c r="C52" s="2" t="s">
        <v>3328</v>
      </c>
      <c r="D52" s="2" t="str">
        <f>CLEAN("1009-01-31")</f>
        <v>1009-01-31</v>
      </c>
      <c r="E52" s="3" t="str">
        <f>CLEAN("WI Bike Fed SRTS Program")</f>
        <v>WI Bike Fed SRTS Program</v>
      </c>
      <c r="F52" s="3" t="str">
        <f>CLEAN("CARPC REGION WIDE")</f>
        <v>CARPC REGION WIDE</v>
      </c>
      <c r="G52" s="3" t="str">
        <f>CLEAN("SAFE ROUTES TO SCHOOL PROGRAMING")</f>
        <v>SAFE ROUTES TO SCHOOL PROGRAMING</v>
      </c>
      <c r="H52" s="2" t="str">
        <f>CLEAN("NON HWY")</f>
        <v>NON HWY</v>
      </c>
      <c r="I52" s="2" t="str">
        <f t="shared" si="8"/>
        <v>290</v>
      </c>
    </row>
    <row r="53" spans="1:9" x14ac:dyDescent="0.35">
      <c r="A53" s="2" t="str">
        <f>CLEAN("MILWAUKEE")</f>
        <v>MILWAUKEE</v>
      </c>
      <c r="B53" s="2" t="str">
        <f t="shared" si="9"/>
        <v>BICYCLE FEDERATION OF WI</v>
      </c>
      <c r="C53" s="2" t="s">
        <v>3339</v>
      </c>
      <c r="D53" s="2" t="str">
        <f>CLEAN("1009-01-32")</f>
        <v>1009-01-32</v>
      </c>
      <c r="E53" s="3" t="str">
        <f>CLEAN("Bike Fed SRTS High School Project")</f>
        <v>Bike Fed SRTS High School Project</v>
      </c>
      <c r="F53" s="3" t="str">
        <f>CLEAN("MILWAUKEE TMA AREA")</f>
        <v>MILWAUKEE TMA AREA</v>
      </c>
      <c r="G53" s="3" t="str">
        <f>CLEAN("SRTS EDUCATION")</f>
        <v>SRTS EDUCATION</v>
      </c>
      <c r="H53" s="2" t="str">
        <f>CLEAN("NON HWY")</f>
        <v>NON HWY</v>
      </c>
      <c r="I53" s="2" t="str">
        <f t="shared" si="8"/>
        <v>290</v>
      </c>
    </row>
    <row r="54" spans="1:9" x14ac:dyDescent="0.35">
      <c r="A54" s="2" t="str">
        <f>CLEAN("DANE")</f>
        <v>DANE</v>
      </c>
      <c r="B54" s="2" t="str">
        <f t="shared" si="9"/>
        <v>BICYCLE FEDERATION OF WI</v>
      </c>
      <c r="C54" s="2" t="s">
        <v>9</v>
      </c>
      <c r="D54" s="2" t="str">
        <f>CLEAN("1009-01-36")</f>
        <v>1009-01-36</v>
      </c>
      <c r="E54" s="3" t="str">
        <f>CLEAN("Bike Fed SRTS Dane Co")</f>
        <v>Bike Fed SRTS Dane Co</v>
      </c>
      <c r="F54" s="3" t="str">
        <f>CLEAN("DANE CO SCHOOLS")</f>
        <v>DANE CO SCHOOLS</v>
      </c>
      <c r="G54" s="3" t="str">
        <f>CLEAN("BIKE FED SRTS")</f>
        <v>BIKE FED SRTS</v>
      </c>
      <c r="H54" s="2" t="str">
        <f>CLEAN("NON HWY")</f>
        <v>NON HWY</v>
      </c>
      <c r="I54" s="2" t="str">
        <f t="shared" si="8"/>
        <v>290</v>
      </c>
    </row>
    <row r="55" spans="1:9" x14ac:dyDescent="0.35">
      <c r="A55" s="2" t="str">
        <f>CLEAN("DANE")</f>
        <v>DANE</v>
      </c>
      <c r="B55" s="2" t="str">
        <f t="shared" si="9"/>
        <v>BICYCLE FEDERATION OF WI</v>
      </c>
      <c r="C55" s="2" t="s">
        <v>3342</v>
      </c>
      <c r="D55" s="2" t="str">
        <f>CLEAN("1009-22-14")</f>
        <v>1009-22-14</v>
      </c>
      <c r="E55" s="3" t="str">
        <f>CLEAN("Madison SRTS Plan")</f>
        <v>Madison SRTS Plan</v>
      </c>
      <c r="F55" s="3" t="str">
        <f>CLEAN("CITY OF MADISON SCHOOLS")</f>
        <v>CITY OF MADISON SCHOOLS</v>
      </c>
      <c r="G55" s="3" t="str">
        <f>CLEAN("SRTS PLANNING")</f>
        <v>SRTS PLANNING</v>
      </c>
      <c r="H55" s="2" t="str">
        <f>CLEAN("NON HWY")</f>
        <v>NON HWY</v>
      </c>
      <c r="I55" s="2" t="str">
        <f t="shared" si="8"/>
        <v>290</v>
      </c>
    </row>
    <row r="56" spans="1:9" x14ac:dyDescent="0.35">
      <c r="A56" s="2" t="str">
        <f t="shared" ref="A56:A77" si="10">CLEAN("BROWN")</f>
        <v>BROWN</v>
      </c>
      <c r="B56" s="2" t="str">
        <f t="shared" ref="B56:B77" si="11">CLEAN("BROWN COUNTY")</f>
        <v>BROWN COUNTY</v>
      </c>
      <c r="C56" s="2" t="s">
        <v>2447</v>
      </c>
      <c r="D56" s="2" t="str">
        <f>CLEAN("4556-02-01")</f>
        <v>4556-02-01</v>
      </c>
      <c r="E56" s="3" t="str">
        <f>CLEAN("C DE PERE  CTH GV")</f>
        <v>C DE PERE  CTH GV</v>
      </c>
      <c r="F56" s="3" t="str">
        <f>CLEAN("CTH PP - CTH X")</f>
        <v>CTH PP - CTH X</v>
      </c>
      <c r="G56" s="3" t="str">
        <f>CLEAN("DSGN/RECSTE")</f>
        <v>DSGN/RECSTE</v>
      </c>
      <c r="H56" s="2" t="str">
        <f>CLEAN("CTH GV")</f>
        <v>CTH GV</v>
      </c>
      <c r="I56" s="2" t="str">
        <f>CLEAN("206")</f>
        <v>206</v>
      </c>
    </row>
    <row r="57" spans="1:9" x14ac:dyDescent="0.35">
      <c r="A57" s="2" t="str">
        <f t="shared" si="10"/>
        <v>BROWN</v>
      </c>
      <c r="B57" s="2" t="str">
        <f t="shared" si="11"/>
        <v>BROWN COUNTY</v>
      </c>
      <c r="C57" s="2" t="s">
        <v>182</v>
      </c>
      <c r="D57" s="2" t="str">
        <f>CLEAN("4987-01-11")</f>
        <v>4987-01-11</v>
      </c>
      <c r="E57" s="3" t="str">
        <f>CLEAN("BROWN COUNTY  SIGNAL UPGRADES")</f>
        <v>BROWN COUNTY  SIGNAL UPGRADES</v>
      </c>
      <c r="F57" s="3" t="str">
        <f>CLEAN("VARIOUS URBAN INTERSECTIONS")</f>
        <v>VARIOUS URBAN INTERSECTIONS</v>
      </c>
      <c r="G57" s="3" t="str">
        <f>CLEAN("CONST OPS/MISC/CRP")</f>
        <v>CONST OPS/MISC/CRP</v>
      </c>
      <c r="H57" s="2" t="str">
        <f>CLEAN("NON HWY")</f>
        <v>NON HWY</v>
      </c>
      <c r="I57" s="2" t="str">
        <f>CLEAN("206")</f>
        <v>206</v>
      </c>
    </row>
    <row r="58" spans="1:9" x14ac:dyDescent="0.35">
      <c r="A58" s="2" t="str">
        <f t="shared" si="10"/>
        <v>BROWN</v>
      </c>
      <c r="B58" s="2" t="str">
        <f t="shared" si="11"/>
        <v>BROWN COUNTY</v>
      </c>
      <c r="C58" s="2" t="s">
        <v>3122</v>
      </c>
      <c r="D58" s="2" t="str">
        <f>CLEAN("9200-10-21")</f>
        <v>9200-10-21</v>
      </c>
      <c r="E58" s="3" t="str">
        <f>CLEAN("SHAWANO - GREEN BAY")</f>
        <v>SHAWANO - GREEN BAY</v>
      </c>
      <c r="F58" s="3" t="str">
        <f>CLEAN("CTH VV INTERCHANGE")</f>
        <v>CTH VV INTERCHANGE</v>
      </c>
      <c r="G58" s="3" t="str">
        <f>CLEAN("R/W")</f>
        <v>R/W</v>
      </c>
      <c r="H58" s="2" t="str">
        <f>CLEAN("STH 029")</f>
        <v>STH 029</v>
      </c>
      <c r="I58" s="2" t="str">
        <f>CLEAN("303")</f>
        <v>303</v>
      </c>
    </row>
    <row r="59" spans="1:9" x14ac:dyDescent="0.35">
      <c r="A59" s="2" t="str">
        <f t="shared" si="10"/>
        <v>BROWN</v>
      </c>
      <c r="B59" s="2" t="str">
        <f t="shared" si="11"/>
        <v>BROWN COUNTY</v>
      </c>
      <c r="C59" s="2" t="s">
        <v>864</v>
      </c>
      <c r="D59" s="2" t="str">
        <f>CLEAN("1130-68-77")</f>
        <v>1130-68-77</v>
      </c>
      <c r="E59" s="3" t="str">
        <f>CLEAN("APPLETON - DE PERE")</f>
        <v>APPLETON - DE PERE</v>
      </c>
      <c r="F59" s="3" t="str">
        <f>CLEAN("SBC INTERCHANGE")</f>
        <v>SBC INTERCHANGE</v>
      </c>
      <c r="G59" s="3" t="str">
        <f>CLEAN("CONST/RECSTE SBC INTCHG B050696")</f>
        <v>CONST/RECSTE SBC INTCHG B050696</v>
      </c>
      <c r="H59" s="2" t="str">
        <f>CLEAN("LOC STR")</f>
        <v>LOC STR</v>
      </c>
      <c r="I59" s="2" t="str">
        <f>CLEAN("302")</f>
        <v>302</v>
      </c>
    </row>
    <row r="60" spans="1:9" x14ac:dyDescent="0.35">
      <c r="A60" s="2" t="str">
        <f t="shared" si="10"/>
        <v>BROWN</v>
      </c>
      <c r="B60" s="2" t="str">
        <f t="shared" si="11"/>
        <v>BROWN COUNTY</v>
      </c>
      <c r="C60" s="2" t="s">
        <v>863</v>
      </c>
      <c r="D60" s="2" t="str">
        <f>CLEAN("1130-68-81")</f>
        <v>1130-68-81</v>
      </c>
      <c r="E60" s="3" t="str">
        <f>CLEAN("APPLETON - DE PERE")</f>
        <v>APPLETON - DE PERE</v>
      </c>
      <c r="F60" s="3" t="str">
        <f>CLEAN("SBC EARLY FILL AND FRONTAGE ROADS")</f>
        <v>SBC EARLY FILL AND FRONTAGE ROADS</v>
      </c>
      <c r="G60" s="3" t="str">
        <f>CLEAN("CONST/RECSTE SBC FRONTAGE ROADS")</f>
        <v>CONST/RECSTE SBC FRONTAGE ROADS</v>
      </c>
      <c r="H60" s="2" t="str">
        <f>CLEAN("LOC STR")</f>
        <v>LOC STR</v>
      </c>
      <c r="I60" s="2" t="str">
        <f>CLEAN("302")</f>
        <v>302</v>
      </c>
    </row>
    <row r="61" spans="1:9" x14ac:dyDescent="0.35">
      <c r="A61" s="2" t="str">
        <f t="shared" si="10"/>
        <v>BROWN</v>
      </c>
      <c r="B61" s="2" t="str">
        <f t="shared" si="11"/>
        <v>BROWN COUNTY</v>
      </c>
      <c r="C61" s="2" t="s">
        <v>2485</v>
      </c>
      <c r="D61" s="2" t="str">
        <f>CLEAN("4125-15-00")</f>
        <v>4125-15-00</v>
      </c>
      <c r="E61" s="3" t="str">
        <f>CLEAN("LEDGEVIEW - BELLEVUE")</f>
        <v>LEDGEVIEW - BELLEVUE</v>
      </c>
      <c r="F61" s="3" t="str">
        <f>CLEAN("USH 141 - CTH EA")</f>
        <v>USH 141 - CTH EA</v>
      </c>
      <c r="G61" s="3" t="str">
        <f>CLEAN("DSN/FULL PSE/RECST")</f>
        <v>DSN/FULL PSE/RECST</v>
      </c>
      <c r="H61" s="2" t="str">
        <f>CLEAN("STH 029")</f>
        <v>STH 029</v>
      </c>
      <c r="I61" s="2" t="str">
        <f>CLEAN("303")</f>
        <v>303</v>
      </c>
    </row>
    <row r="62" spans="1:9" x14ac:dyDescent="0.35">
      <c r="A62" s="2" t="str">
        <f t="shared" si="10"/>
        <v>BROWN</v>
      </c>
      <c r="B62" s="2" t="str">
        <f t="shared" si="11"/>
        <v>BROWN COUNTY</v>
      </c>
      <c r="C62" s="2" t="s">
        <v>1399</v>
      </c>
      <c r="D62" s="2" t="str">
        <f>CLEAN("4538-02-72")</f>
        <v>4538-02-72</v>
      </c>
      <c r="E62" s="3" t="str">
        <f>CLEAN("BROWN CO  CTH KB")</f>
        <v>BROWN CO  CTH KB</v>
      </c>
      <c r="F62" s="3" t="str">
        <f>CLEAN("NESHOTA RIVER BRIDGE")</f>
        <v>NESHOTA RIVER BRIDGE</v>
      </c>
      <c r="G62" s="3" t="str">
        <f>CLEAN("DESGIN/FULL PSE/BRRPL/B-05-0008")</f>
        <v>DESGIN/FULL PSE/BRRPL/B-05-0008</v>
      </c>
      <c r="H62" s="2" t="str">
        <f>CLEAN("CTH KB")</f>
        <v>CTH KB</v>
      </c>
      <c r="I62" s="2" t="str">
        <f>CLEAN("205")</f>
        <v>205</v>
      </c>
    </row>
    <row r="63" spans="1:9" x14ac:dyDescent="0.35">
      <c r="A63" s="2" t="str">
        <f t="shared" si="10"/>
        <v>BROWN</v>
      </c>
      <c r="B63" s="2" t="str">
        <f t="shared" si="11"/>
        <v>BROWN COUNTY</v>
      </c>
      <c r="C63" s="2" t="s">
        <v>160</v>
      </c>
      <c r="D63" s="2" t="str">
        <f>CLEAN("4538-02-73")</f>
        <v>4538-02-73</v>
      </c>
      <c r="E63" s="3" t="str">
        <f>CLEAN("BROWN CO  CTH KB")</f>
        <v>BROWN CO  CTH KB</v>
      </c>
      <c r="F63" s="3" t="str">
        <f>CLEAN("NESHOTA RIVER BRIDGE")</f>
        <v>NESHOTA RIVER BRIDGE</v>
      </c>
      <c r="G63" s="3" t="str">
        <f>CLEAN("CONST OPS/BRRPL/B-05-0485")</f>
        <v>CONST OPS/BRRPL/B-05-0485</v>
      </c>
      <c r="H63" s="2" t="str">
        <f>CLEAN("CTH KB")</f>
        <v>CTH KB</v>
      </c>
      <c r="I63" s="2" t="str">
        <f>CLEAN("205")</f>
        <v>205</v>
      </c>
    </row>
    <row r="64" spans="1:9" x14ac:dyDescent="0.35">
      <c r="A64" s="2" t="str">
        <f t="shared" si="10"/>
        <v>BROWN</v>
      </c>
      <c r="B64" s="2" t="str">
        <f t="shared" si="11"/>
        <v>BROWN COUNTY</v>
      </c>
      <c r="C64" s="2" t="s">
        <v>2349</v>
      </c>
      <c r="D64" s="2" t="str">
        <f>CLEAN("4546-00-00")</f>
        <v>4546-00-00</v>
      </c>
      <c r="E64" s="3" t="str">
        <f>CLEAN("T HOLLAND  CTH D")</f>
        <v>T HOLLAND  CTH D</v>
      </c>
      <c r="F64" s="3" t="str">
        <f>CLEAN("BRANCH OF PLUM CREEK BRIDGE REHAB")</f>
        <v>BRANCH OF PLUM CREEK BRIDGE REHAB</v>
      </c>
      <c r="G64" s="3" t="str">
        <f>CLEAN("DSGN/FULL PSE/BRRHB/B050251")</f>
        <v>DSGN/FULL PSE/BRRHB/B050251</v>
      </c>
      <c r="H64" s="2" t="str">
        <f>CLEAN("CTH D")</f>
        <v>CTH D</v>
      </c>
      <c r="I64" s="2" t="str">
        <f>CLEAN("205")</f>
        <v>205</v>
      </c>
    </row>
    <row r="65" spans="1:9" x14ac:dyDescent="0.35">
      <c r="A65" s="2" t="str">
        <f t="shared" si="10"/>
        <v>BROWN</v>
      </c>
      <c r="B65" s="2" t="str">
        <f t="shared" si="11"/>
        <v>BROWN COUNTY</v>
      </c>
      <c r="C65" s="2" t="s">
        <v>2417</v>
      </c>
      <c r="D65" s="2" t="str">
        <f>CLEAN("4556-00-00")</f>
        <v>4556-00-00</v>
      </c>
      <c r="E65" s="3" t="str">
        <f>CLEAN("C DE PERE  ROCKLAND ROAD")</f>
        <v>C DE PERE  ROCKLAND ROAD</v>
      </c>
      <c r="F65" s="3" t="str">
        <f>CLEAN("STH 32 TO CTH PP")</f>
        <v>STH 32 TO CTH PP</v>
      </c>
      <c r="G65" s="3" t="str">
        <f>CLEAN("DSGN/FULL PSE/RECST")</f>
        <v>DSGN/FULL PSE/RECST</v>
      </c>
      <c r="H65" s="2" t="str">
        <f>CLEAN("LOC STR")</f>
        <v>LOC STR</v>
      </c>
      <c r="I65" s="2" t="str">
        <f>CLEAN("206")</f>
        <v>206</v>
      </c>
    </row>
    <row r="66" spans="1:9" x14ac:dyDescent="0.35">
      <c r="A66" s="2" t="str">
        <f t="shared" si="10"/>
        <v>BROWN</v>
      </c>
      <c r="B66" s="2" t="str">
        <f t="shared" si="11"/>
        <v>BROWN COUNTY</v>
      </c>
      <c r="C66" s="2" t="s">
        <v>2429</v>
      </c>
      <c r="D66" s="2" t="str">
        <f>CLEAN("4579-02-00")</f>
        <v>4579-02-00</v>
      </c>
      <c r="E66" s="3" t="str">
        <f>CLEAN("V ALLOUEZ  CTH O")</f>
        <v>V ALLOUEZ  CTH O</v>
      </c>
      <c r="F66" s="3" t="str">
        <f>CLEAN("STH 57 TO EAST RIVER DRIVE")</f>
        <v>STH 57 TO EAST RIVER DRIVE</v>
      </c>
      <c r="G66" s="3" t="str">
        <f>CLEAN("DSGN/FULL PSE/RSRF20")</f>
        <v>DSGN/FULL PSE/RSRF20</v>
      </c>
      <c r="H66" s="2" t="str">
        <f>CLEAN("CTH O")</f>
        <v>CTH O</v>
      </c>
      <c r="I66" s="2" t="str">
        <f>CLEAN("206")</f>
        <v>206</v>
      </c>
    </row>
    <row r="67" spans="1:9" x14ac:dyDescent="0.35">
      <c r="A67" s="2" t="str">
        <f t="shared" si="10"/>
        <v>BROWN</v>
      </c>
      <c r="B67" s="2" t="str">
        <f t="shared" si="11"/>
        <v>BROWN COUNTY</v>
      </c>
      <c r="C67" s="2" t="s">
        <v>303</v>
      </c>
      <c r="D67" s="2" t="str">
        <f>CLEAN("4589-01-72")</f>
        <v>4589-01-72</v>
      </c>
      <c r="E67" s="3" t="str">
        <f>CLEAN("BROWN CO  CTH PP")</f>
        <v>BROWN CO  CTH PP</v>
      </c>
      <c r="F67" s="3" t="str">
        <f>CLEAN("MAN CAL ROAD TO STH 96")</f>
        <v>MAN CAL ROAD TO STH 96</v>
      </c>
      <c r="G67" s="3" t="str">
        <f>CLEAN("CONST OPS/RSRF20")</f>
        <v>CONST OPS/RSRF20</v>
      </c>
      <c r="H67" s="2" t="str">
        <f>CLEAN("CTH PP")</f>
        <v>CTH PP</v>
      </c>
      <c r="I67" s="2" t="str">
        <f>CLEAN("206")</f>
        <v>206</v>
      </c>
    </row>
    <row r="68" spans="1:9" x14ac:dyDescent="0.35">
      <c r="A68" s="2" t="str">
        <f t="shared" si="10"/>
        <v>BROWN</v>
      </c>
      <c r="B68" s="2" t="str">
        <f t="shared" si="11"/>
        <v>BROWN COUNTY</v>
      </c>
      <c r="C68" s="2" t="s">
        <v>2491</v>
      </c>
      <c r="D68" s="2" t="str">
        <f>CLEAN("4985-04-00")</f>
        <v>4985-04-00</v>
      </c>
      <c r="E68" s="3" t="str">
        <f>CLEAN("C DE PERE - CTH GV")</f>
        <v>C DE PERE - CTH GV</v>
      </c>
      <c r="F68" s="3" t="str">
        <f>CLEAN("LAWRENCE DR - CTH D")</f>
        <v>LAWRENCE DR - CTH D</v>
      </c>
      <c r="G68" s="3" t="str">
        <f>CLEAN("DSN/PSE/RECSTE FFY22 CDS AWARD")</f>
        <v>DSN/PSE/RECSTE FFY22 CDS AWARD</v>
      </c>
      <c r="H68" s="2" t="str">
        <f>CLEAN("LOC STR")</f>
        <v>LOC STR</v>
      </c>
      <c r="I68" s="2" t="str">
        <f>CLEAN("201")</f>
        <v>201</v>
      </c>
    </row>
    <row r="69" spans="1:9" x14ac:dyDescent="0.35">
      <c r="A69" s="2" t="str">
        <f t="shared" si="10"/>
        <v>BROWN</v>
      </c>
      <c r="B69" s="2" t="str">
        <f t="shared" si="11"/>
        <v>BROWN COUNTY</v>
      </c>
      <c r="C69" s="2" t="s">
        <v>2240</v>
      </c>
      <c r="D69" s="2" t="str">
        <f>CLEAN("4985-05-00")</f>
        <v>4985-05-00</v>
      </c>
      <c r="E69" s="3" t="str">
        <f>CLEAN("C DEPERE - CTH GV")</f>
        <v>C DEPERE - CTH GV</v>
      </c>
      <c r="F69" s="3" t="str">
        <f>CLEAN("CTH D - STH 32/57")</f>
        <v>CTH D - STH 32/57</v>
      </c>
      <c r="G69" s="3" t="str">
        <f>CLEAN("DESIGN/PSE/BRNEW FFY22 CDS AWARD")</f>
        <v>DESIGN/PSE/BRNEW FFY22 CDS AWARD</v>
      </c>
      <c r="H69" s="2" t="str">
        <f>CLEAN("LOC STR")</f>
        <v>LOC STR</v>
      </c>
      <c r="I69" s="2" t="str">
        <f>CLEAN("201")</f>
        <v>201</v>
      </c>
    </row>
    <row r="70" spans="1:9" x14ac:dyDescent="0.35">
      <c r="A70" s="2" t="str">
        <f t="shared" si="10"/>
        <v>BROWN</v>
      </c>
      <c r="B70" s="2" t="str">
        <f t="shared" si="11"/>
        <v>BROWN COUNTY</v>
      </c>
      <c r="C70" s="2" t="s">
        <v>2432</v>
      </c>
      <c r="D70" s="2" t="str">
        <f>CLEAN("4987-13-00")</f>
        <v>4987-13-00</v>
      </c>
      <c r="E70" s="3" t="str">
        <f>CLEAN("BROWN COUNTY FOX RIVER STATE TRAIL")</f>
        <v>BROWN COUNTY FOX RIVER STATE TRAIL</v>
      </c>
      <c r="F70" s="3" t="str">
        <f>CLEAN("PORLIER ST - CTH X")</f>
        <v>PORLIER ST - CTH X</v>
      </c>
      <c r="G70" s="3" t="str">
        <f>CLEAN("DSGN/MISC BIKE/PED RESURFACE")</f>
        <v>DSGN/MISC BIKE/PED RESURFACE</v>
      </c>
      <c r="H70" s="2" t="str">
        <f>CLEAN("NON HWY")</f>
        <v>NON HWY</v>
      </c>
      <c r="I70" s="2" t="str">
        <f>CLEAN("290")</f>
        <v>290</v>
      </c>
    </row>
    <row r="71" spans="1:9" x14ac:dyDescent="0.35">
      <c r="A71" s="2" t="str">
        <f t="shared" si="10"/>
        <v>BROWN</v>
      </c>
      <c r="B71" s="2" t="str">
        <f t="shared" si="11"/>
        <v>BROWN COUNTY</v>
      </c>
      <c r="C71" s="2" t="s">
        <v>29</v>
      </c>
      <c r="D71" s="2" t="str">
        <f>CLEAN("4987-13-71")</f>
        <v>4987-13-71</v>
      </c>
      <c r="E71" s="3" t="str">
        <f>CLEAN("BROWN COUNTY FOX RIVER STATE TRAIL")</f>
        <v>BROWN COUNTY FOX RIVER STATE TRAIL</v>
      </c>
      <c r="F71" s="3" t="str">
        <f>CLEAN("PORLIER ST - CTH X")</f>
        <v>PORLIER ST - CTH X</v>
      </c>
      <c r="G71" s="3" t="str">
        <f>CLEAN("CONS OPS/MISC BIKE/PED RESURFACE")</f>
        <v>CONS OPS/MISC BIKE/PED RESURFACE</v>
      </c>
      <c r="H71" s="2" t="str">
        <f>CLEAN("NON HWY")</f>
        <v>NON HWY</v>
      </c>
      <c r="I71" s="2" t="str">
        <f>CLEAN("290")</f>
        <v>290</v>
      </c>
    </row>
    <row r="72" spans="1:9" x14ac:dyDescent="0.35">
      <c r="A72" s="2" t="str">
        <f t="shared" si="10"/>
        <v>BROWN</v>
      </c>
      <c r="B72" s="2" t="str">
        <f t="shared" si="11"/>
        <v>BROWN COUNTY</v>
      </c>
      <c r="C72" s="2" t="s">
        <v>2480</v>
      </c>
      <c r="D72" s="2" t="str">
        <f>CLEAN("9277-01-00")</f>
        <v>9277-01-00</v>
      </c>
      <c r="E72" s="3" t="str">
        <f>CLEAN("T LAWRENCE  CTH EE")</f>
        <v>T LAWRENCE  CTH EE</v>
      </c>
      <c r="F72" s="3" t="str">
        <f>CLEAN("MOURNING DOVE CT TO LAWRENCE DRIVE")</f>
        <v>MOURNING DOVE CT TO LAWRENCE DRIVE</v>
      </c>
      <c r="G72" s="3" t="str">
        <f>CLEAN("DSN/FULL PSE/RECST")</f>
        <v>DSN/FULL PSE/RECST</v>
      </c>
      <c r="H72" s="2" t="str">
        <f>CLEAN("CTH EE")</f>
        <v>CTH EE</v>
      </c>
      <c r="I72" s="2" t="str">
        <f>CLEAN("206")</f>
        <v>206</v>
      </c>
    </row>
    <row r="73" spans="1:9" x14ac:dyDescent="0.35">
      <c r="A73" s="2" t="str">
        <f t="shared" si="10"/>
        <v>BROWN</v>
      </c>
      <c r="B73" s="2" t="str">
        <f t="shared" si="11"/>
        <v>BROWN COUNTY</v>
      </c>
      <c r="C73" s="2" t="s">
        <v>282</v>
      </c>
      <c r="D73" s="2" t="str">
        <f>CLEAN("9277-01-71")</f>
        <v>9277-01-71</v>
      </c>
      <c r="E73" s="3" t="str">
        <f>CLEAN("T LAWRENCE  CTH EE")</f>
        <v>T LAWRENCE  CTH EE</v>
      </c>
      <c r="F73" s="3" t="str">
        <f>CLEAN("MOURNING DOVE CT TO LAWRENCE DRIVE")</f>
        <v>MOURNING DOVE CT TO LAWRENCE DRIVE</v>
      </c>
      <c r="G73" s="3" t="str">
        <f>CLEAN("CONST OPS/RECST")</f>
        <v>CONST OPS/RECST</v>
      </c>
      <c r="H73" s="2" t="str">
        <f>CLEAN("CTH EE")</f>
        <v>CTH EE</v>
      </c>
      <c r="I73" s="2" t="str">
        <f>CLEAN("206")</f>
        <v>206</v>
      </c>
    </row>
    <row r="74" spans="1:9" x14ac:dyDescent="0.35">
      <c r="A74" s="2" t="str">
        <f t="shared" si="10"/>
        <v>BROWN</v>
      </c>
      <c r="B74" s="2" t="str">
        <f t="shared" si="11"/>
        <v>BROWN COUNTY</v>
      </c>
      <c r="C74" s="2" t="s">
        <v>2481</v>
      </c>
      <c r="D74" s="2" t="str">
        <f>CLEAN("9277-03-72")</f>
        <v>9277-03-72</v>
      </c>
      <c r="E74" s="3" t="str">
        <f>CLEAN("BROWN CO  CTH EE")</f>
        <v>BROWN CO  CTH EE</v>
      </c>
      <c r="F74" s="3" t="str">
        <f>CLEAN("NAVIGATOR WAY - QUARRY PARK DR")</f>
        <v>NAVIGATOR WAY - QUARRY PARK DR</v>
      </c>
      <c r="G74" s="3" t="str">
        <f>CLEAN("DSN/FULL PSE/RECST")</f>
        <v>DSN/FULL PSE/RECST</v>
      </c>
      <c r="H74" s="2" t="str">
        <f>CLEAN("CTH EE")</f>
        <v>CTH EE</v>
      </c>
      <c r="I74" s="2" t="str">
        <f>CLEAN("206")</f>
        <v>206</v>
      </c>
    </row>
    <row r="75" spans="1:9" x14ac:dyDescent="0.35">
      <c r="A75" s="2" t="str">
        <f t="shared" si="10"/>
        <v>BROWN</v>
      </c>
      <c r="B75" s="2" t="str">
        <f t="shared" si="11"/>
        <v>BROWN COUNTY</v>
      </c>
      <c r="C75" s="2" t="s">
        <v>283</v>
      </c>
      <c r="D75" s="2" t="str">
        <f>CLEAN("9277-03-73")</f>
        <v>9277-03-73</v>
      </c>
      <c r="E75" s="3" t="str">
        <f>CLEAN("BROWN CO  CTH EE")</f>
        <v>BROWN CO  CTH EE</v>
      </c>
      <c r="F75" s="3" t="str">
        <f>CLEAN("NAVIGATOR WAY - QUARRY PARK DR")</f>
        <v>NAVIGATOR WAY - QUARRY PARK DR</v>
      </c>
      <c r="G75" s="3" t="str">
        <f>CLEAN("CONST OPS/RECST")</f>
        <v>CONST OPS/RECST</v>
      </c>
      <c r="H75" s="2" t="str">
        <f>CLEAN("CTH EE")</f>
        <v>CTH EE</v>
      </c>
      <c r="I75" s="2" t="str">
        <f>CLEAN("206")</f>
        <v>206</v>
      </c>
    </row>
    <row r="76" spans="1:9" x14ac:dyDescent="0.35">
      <c r="A76" s="2" t="str">
        <f t="shared" si="10"/>
        <v>BROWN</v>
      </c>
      <c r="B76" s="2" t="str">
        <f t="shared" si="11"/>
        <v>BROWN COUNTY</v>
      </c>
      <c r="C76" s="2" t="s">
        <v>2425</v>
      </c>
      <c r="D76" s="2" t="str">
        <f>CLEAN("9278-00-00")</f>
        <v>9278-00-00</v>
      </c>
      <c r="E76" s="3" t="str">
        <f>CLEAN("C DE PERE  CTH G")</f>
        <v>C DE PERE  CTH G</v>
      </c>
      <c r="F76" s="3" t="str">
        <f>CLEAN("CTH X TO CTH GV")</f>
        <v>CTH X TO CTH GV</v>
      </c>
      <c r="G76" s="3" t="str">
        <f>CLEAN("DSGN/FULL PSE/RSRF20")</f>
        <v>DSGN/FULL PSE/RSRF20</v>
      </c>
      <c r="H76" s="2" t="str">
        <f>CLEAN("CTH G")</f>
        <v>CTH G</v>
      </c>
      <c r="I76" s="2" t="str">
        <f>CLEAN("206")</f>
        <v>206</v>
      </c>
    </row>
    <row r="77" spans="1:9" x14ac:dyDescent="0.35">
      <c r="A77" s="2" t="str">
        <f t="shared" si="10"/>
        <v>BROWN</v>
      </c>
      <c r="B77" s="2" t="str">
        <f t="shared" si="11"/>
        <v>BROWN COUNTY</v>
      </c>
      <c r="C77" s="2" t="s">
        <v>2348</v>
      </c>
      <c r="D77" s="2" t="str">
        <f>CLEAN("9917-00-00")</f>
        <v>9917-00-00</v>
      </c>
      <c r="E77" s="3" t="str">
        <f>CLEAN("V HOBART  CTH FF")</f>
        <v>V HOBART  CTH FF</v>
      </c>
      <c r="F77" s="3" t="str">
        <f>CLEAN("DUCK CREEK BRIDGE REHAB")</f>
        <v>DUCK CREEK BRIDGE REHAB</v>
      </c>
      <c r="G77" s="3" t="str">
        <f>CLEAN("DSGN/FULL PSE/BRRHB/B050026")</f>
        <v>DSGN/FULL PSE/BRRHB/B050026</v>
      </c>
      <c r="H77" s="2" t="str">
        <f>CLEAN("CTH FF")</f>
        <v>CTH FF</v>
      </c>
      <c r="I77" s="2" t="str">
        <f>CLEAN("205")</f>
        <v>205</v>
      </c>
    </row>
    <row r="78" spans="1:9" x14ac:dyDescent="0.35">
      <c r="A78" s="2" t="str">
        <f t="shared" ref="A78:A86" si="12">CLEAN("BUFFALO")</f>
        <v>BUFFALO</v>
      </c>
      <c r="B78" s="2" t="str">
        <f t="shared" ref="B78:B86" si="13">CLEAN("BUFFALO COUNTY")</f>
        <v>BUFFALO COUNTY</v>
      </c>
      <c r="C78" s="2" t="s">
        <v>1111</v>
      </c>
      <c r="D78" s="2" t="str">
        <f>CLEAN("7224-00-73")</f>
        <v>7224-00-73</v>
      </c>
      <c r="E78" s="3" t="str">
        <f>CLEAN("T BUFFALO  WINONA CONNECTOR")</f>
        <v>T BUFFALO  WINONA CONNECTOR</v>
      </c>
      <c r="F78" s="3" t="str">
        <f>CLEAN("T BUFFALO PARK-GREAT RIVER ST TRAIL")</f>
        <v>T BUFFALO PARK-GREAT RIVER ST TRAIL</v>
      </c>
      <c r="G78" s="3" t="str">
        <f>CLEAN("CONSTR- BIKE/PED TRAIL PHASE II")</f>
        <v>CONSTR- BIKE/PED TRAIL PHASE II</v>
      </c>
      <c r="H78" s="2" t="str">
        <f>CLEAN("NON HWY")</f>
        <v>NON HWY</v>
      </c>
      <c r="I78" s="2" t="str">
        <f>CLEAN("206")</f>
        <v>206</v>
      </c>
    </row>
    <row r="79" spans="1:9" x14ac:dyDescent="0.35">
      <c r="A79" s="2" t="str">
        <f t="shared" si="12"/>
        <v>BUFFALO</v>
      </c>
      <c r="B79" s="2" t="str">
        <f t="shared" si="13"/>
        <v>BUFFALO COUNTY</v>
      </c>
      <c r="C79" s="2" t="s">
        <v>1514</v>
      </c>
      <c r="D79" s="2" t="str">
        <f>CLEAN("7229-00-00")</f>
        <v>7229-00-00</v>
      </c>
      <c r="E79" s="3" t="str">
        <f>CLEAN("STH 37 - GILMANTON")</f>
        <v>STH 37 - GILMANTON</v>
      </c>
      <c r="F79" s="3" t="str">
        <f>CLEAN("STH 37 TO STH 88")</f>
        <v>STH 37 TO STH 88</v>
      </c>
      <c r="G79" s="3" t="str">
        <f>CLEAN("DESIGN - FULL PS&amp;E PVRPLA")</f>
        <v>DESIGN - FULL PS&amp;E PVRPLA</v>
      </c>
      <c r="H79" s="2" t="str">
        <f>CLEAN("CTH B")</f>
        <v>CTH B</v>
      </c>
      <c r="I79" s="2" t="str">
        <f>CLEAN("206")</f>
        <v>206</v>
      </c>
    </row>
    <row r="80" spans="1:9" x14ac:dyDescent="0.35">
      <c r="A80" s="2" t="str">
        <f t="shared" si="12"/>
        <v>BUFFALO</v>
      </c>
      <c r="B80" s="2" t="str">
        <f t="shared" si="13"/>
        <v>BUFFALO COUNTY</v>
      </c>
      <c r="C80" s="2" t="s">
        <v>1310</v>
      </c>
      <c r="D80" s="2" t="str">
        <f>CLEAN("7229-00-70")</f>
        <v>7229-00-70</v>
      </c>
      <c r="E80" s="3" t="str">
        <f>CLEAN("STH 37 - GILMANTON")</f>
        <v>STH 37 - GILMANTON</v>
      </c>
      <c r="F80" s="3" t="str">
        <f>CLEAN("STH 37 TO STH 88")</f>
        <v>STH 37 TO STH 88</v>
      </c>
      <c r="G80" s="3" t="str">
        <f>CLEAN("CONSTRUCTION/PVRPLA")</f>
        <v>CONSTRUCTION/PVRPLA</v>
      </c>
      <c r="H80" s="2" t="str">
        <f>CLEAN("CTH B")</f>
        <v>CTH B</v>
      </c>
      <c r="I80" s="2" t="str">
        <f>CLEAN("206")</f>
        <v>206</v>
      </c>
    </row>
    <row r="81" spans="1:9" x14ac:dyDescent="0.35">
      <c r="A81" s="2" t="str">
        <f t="shared" si="12"/>
        <v>BUFFALO</v>
      </c>
      <c r="B81" s="2" t="str">
        <f t="shared" si="13"/>
        <v>BUFFALO COUNTY</v>
      </c>
      <c r="C81" s="2" t="s">
        <v>507</v>
      </c>
      <c r="D81" s="2" t="str">
        <f>CLEAN("7231-00-70")</f>
        <v>7231-00-70</v>
      </c>
      <c r="E81" s="3" t="str">
        <f>CLEAN("T LINCOLN  BOETTCHER ROAD")</f>
        <v>T LINCOLN  BOETTCHER ROAD</v>
      </c>
      <c r="F81" s="3" t="str">
        <f>CLEAN("JAHNS VALLEY CREEK BRIDGE B060400")</f>
        <v>JAHNS VALLEY CREEK BRIDGE B060400</v>
      </c>
      <c r="G81" s="3" t="str">
        <f>CLEAN("CONST/BRRPL")</f>
        <v>CONST/BRRPL</v>
      </c>
      <c r="H81" s="2" t="str">
        <f>CLEAN("LOC STR")</f>
        <v>LOC STR</v>
      </c>
      <c r="I81" s="2" t="str">
        <f>CLEAN("205")</f>
        <v>205</v>
      </c>
    </row>
    <row r="82" spans="1:9" x14ac:dyDescent="0.35">
      <c r="A82" s="2" t="str">
        <f t="shared" si="12"/>
        <v>BUFFALO</v>
      </c>
      <c r="B82" s="2" t="str">
        <f t="shared" si="13"/>
        <v>BUFFALO COUNTY</v>
      </c>
      <c r="C82" s="2" t="s">
        <v>2291</v>
      </c>
      <c r="D82" s="2" t="str">
        <f>CLEAN("7290-00-00")</f>
        <v>7290-00-00</v>
      </c>
      <c r="E82" s="3" t="str">
        <f>CLEAN("STH 95 - MARSHLAND")</f>
        <v>STH 95 - MARSHLAND</v>
      </c>
      <c r="F82" s="3" t="str">
        <f>CLEAN("TREMPEALEAU RIVER BRIDGE B-06-0022")</f>
        <v>TREMPEALEAU RIVER BRIDGE B-06-0022</v>
      </c>
      <c r="G82" s="3" t="str">
        <f>CLEAN("DESIGN-BRIDGE REPLACEMENT")</f>
        <v>DESIGN-BRIDGE REPLACEMENT</v>
      </c>
      <c r="H82" s="2" t="str">
        <f>CLEAN("CTH P")</f>
        <v>CTH P</v>
      </c>
      <c r="I82" s="2" t="str">
        <f>CLEAN("205")</f>
        <v>205</v>
      </c>
    </row>
    <row r="83" spans="1:9" x14ac:dyDescent="0.35">
      <c r="A83" s="2" t="str">
        <f t="shared" si="12"/>
        <v>BUFFALO</v>
      </c>
      <c r="B83" s="2" t="str">
        <f t="shared" si="13"/>
        <v>BUFFALO COUNTY</v>
      </c>
      <c r="C83" s="2" t="s">
        <v>1209</v>
      </c>
      <c r="D83" s="2" t="str">
        <f>CLEAN("7290-00-70")</f>
        <v>7290-00-70</v>
      </c>
      <c r="E83" s="3" t="str">
        <f>CLEAN("STH 95 - MARSHLAND")</f>
        <v>STH 95 - MARSHLAND</v>
      </c>
      <c r="F83" s="3" t="str">
        <f>CLEAN("TREMPEALEAU RIVER BRIDGE B-06-0238")</f>
        <v>TREMPEALEAU RIVER BRIDGE B-06-0238</v>
      </c>
      <c r="G83" s="3" t="str">
        <f>CLEAN("CONSTRUCTION/BRIDGE REPLACEMENT")</f>
        <v>CONSTRUCTION/BRIDGE REPLACEMENT</v>
      </c>
      <c r="H83" s="2" t="str">
        <f>CLEAN("CTH P")</f>
        <v>CTH P</v>
      </c>
      <c r="I83" s="2" t="str">
        <f>CLEAN("205")</f>
        <v>205</v>
      </c>
    </row>
    <row r="84" spans="1:9" x14ac:dyDescent="0.35">
      <c r="A84" s="2" t="str">
        <f t="shared" si="12"/>
        <v>BUFFALO</v>
      </c>
      <c r="B84" s="2" t="str">
        <f t="shared" si="13"/>
        <v>BUFFALO COUNTY</v>
      </c>
      <c r="C84" s="2" t="s">
        <v>1633</v>
      </c>
      <c r="D84" s="2" t="str">
        <f>CLEAN("7356-00-02")</f>
        <v>7356-00-02</v>
      </c>
      <c r="E84" s="3" t="str">
        <f>CLEAN("CZECHVILLE - ALMA")</f>
        <v>CZECHVILLE - ALMA</v>
      </c>
      <c r="F84" s="3" t="str">
        <f>CLEAN("PRAIRIE MOON ROAD TO STH 35")</f>
        <v>PRAIRIE MOON ROAD TO STH 35</v>
      </c>
      <c r="G84" s="3" t="str">
        <f>CLEAN("DESIGN - FULL PS&amp;E/PVRPLA")</f>
        <v>DESIGN - FULL PS&amp;E/PVRPLA</v>
      </c>
      <c r="H84" s="2" t="str">
        <f>CLEAN("CTH OO")</f>
        <v>CTH OO</v>
      </c>
      <c r="I84" s="2" t="str">
        <f>CLEAN("206")</f>
        <v>206</v>
      </c>
    </row>
    <row r="85" spans="1:9" x14ac:dyDescent="0.35">
      <c r="A85" s="2" t="str">
        <f t="shared" si="12"/>
        <v>BUFFALO</v>
      </c>
      <c r="B85" s="2" t="str">
        <f t="shared" si="13"/>
        <v>BUFFALO COUNTY</v>
      </c>
      <c r="C85" s="2" t="s">
        <v>1465</v>
      </c>
      <c r="D85" s="2" t="str">
        <f>CLEAN("7364-00-00")</f>
        <v>7364-00-00</v>
      </c>
      <c r="E85" s="3" t="str">
        <f>CLEAN("STH 25 - STH 37")</f>
        <v>STH 25 - STH 37</v>
      </c>
      <c r="F85" s="3" t="str">
        <f>CLEAN("LEE VALLEY CREEK BRIDGE P-06-0942")</f>
        <v>LEE VALLEY CREEK BRIDGE P-06-0942</v>
      </c>
      <c r="G85" s="3" t="str">
        <f>CLEAN("DESIGN - FULL PS&amp;E BRRPL")</f>
        <v>DESIGN - FULL PS&amp;E BRRPL</v>
      </c>
      <c r="H85" s="2" t="str">
        <f>CLEAN("CTH KK")</f>
        <v>CTH KK</v>
      </c>
      <c r="I85" s="2" t="str">
        <f>CLEAN("205")</f>
        <v>205</v>
      </c>
    </row>
    <row r="86" spans="1:9" x14ac:dyDescent="0.35">
      <c r="A86" s="2" t="str">
        <f t="shared" si="12"/>
        <v>BUFFALO</v>
      </c>
      <c r="B86" s="2" t="str">
        <f t="shared" si="13"/>
        <v>BUFFALO COUNTY</v>
      </c>
      <c r="C86" s="2" t="s">
        <v>1187</v>
      </c>
      <c r="D86" s="2" t="str">
        <f>CLEAN("7364-00-70")</f>
        <v>7364-00-70</v>
      </c>
      <c r="E86" s="3" t="str">
        <f>CLEAN("STH 25 - STH 37")</f>
        <v>STH 25 - STH 37</v>
      </c>
      <c r="F86" s="3" t="str">
        <f>CLEAN("LEE VALLEY CREEK BRIDGE B-06-0239")</f>
        <v>LEE VALLEY CREEK BRIDGE B-06-0239</v>
      </c>
      <c r="G86" s="3" t="str">
        <f>CLEAN("CONSTRUCTION/BRIDGE REPLACEMENT")</f>
        <v>CONSTRUCTION/BRIDGE REPLACEMENT</v>
      </c>
      <c r="H86" s="2" t="str">
        <f>CLEAN("CTH KK")</f>
        <v>CTH KK</v>
      </c>
      <c r="I86" s="2" t="str">
        <f>CLEAN("205")</f>
        <v>205</v>
      </c>
    </row>
    <row r="87" spans="1:9" x14ac:dyDescent="0.35">
      <c r="A87" s="2" t="str">
        <f>CLEAN("DOUGLAS")</f>
        <v>DOUGLAS</v>
      </c>
      <c r="B87" s="2" t="str">
        <f t="shared" ref="B87:B101" si="14">CLEAN("BURLINGTON NORTHERN SANTA FE RAILWAY")</f>
        <v>BURLINGTON NORTHERN SANTA FE RAILWAY</v>
      </c>
      <c r="C87" s="2" t="s">
        <v>3258</v>
      </c>
      <c r="D87" s="2" t="str">
        <f>CLEAN("1009-89-02")</f>
        <v>1009-89-02</v>
      </c>
      <c r="E87" s="3" t="str">
        <f>CLEAN("T OF SUPERIOR  CTH C")</f>
        <v>T OF SUPERIOR  CTH C</v>
      </c>
      <c r="F87" s="3" t="str">
        <f>CLEAN("BNSF RR X-ING 086403C")</f>
        <v>BNSF RR X-ING 086403C</v>
      </c>
      <c r="G87" s="3" t="str">
        <f>CLEAN("RR OPS/SAFETY/OCR/SIGNALS &amp; GATES")</f>
        <v>RR OPS/SAFETY/OCR/SIGNALS &amp; GATES</v>
      </c>
      <c r="H87" s="2" t="str">
        <f>CLEAN("LOC STR")</f>
        <v>LOC STR</v>
      </c>
      <c r="I87" s="2" t="str">
        <f>CLEAN("207")</f>
        <v>207</v>
      </c>
    </row>
    <row r="88" spans="1:9" x14ac:dyDescent="0.35">
      <c r="A88" s="2" t="str">
        <f>CLEAN("DOUGLAS")</f>
        <v>DOUGLAS</v>
      </c>
      <c r="B88" s="2" t="str">
        <f t="shared" si="14"/>
        <v>BURLINGTON NORTHERN SANTA FE RAILWAY</v>
      </c>
      <c r="C88" s="2" t="s">
        <v>3197</v>
      </c>
      <c r="D88" s="2" t="str">
        <f>CLEAN("1199-00-57")</f>
        <v>1199-00-57</v>
      </c>
      <c r="E88" s="3" t="str">
        <f>CLEAN("SUPERIOR - DULUTH")</f>
        <v>SUPERIOR - DULUTH</v>
      </c>
      <c r="F88" s="3" t="str">
        <f>CLEAN("BNSF XING 061462H  086562J  085931A")</f>
        <v>BNSF XING 061462H  086562J  085931A</v>
      </c>
      <c r="G88" s="3" t="str">
        <f>CLEAN("RR OPS- SURFACE/1199-00-77")</f>
        <v>RR OPS- SURFACE/1199-00-77</v>
      </c>
      <c r="H88" s="2" t="str">
        <f>CLEAN("LOC STR")</f>
        <v>LOC STR</v>
      </c>
      <c r="I88" s="2" t="str">
        <f>CLEAN("304")</f>
        <v>304</v>
      </c>
    </row>
    <row r="89" spans="1:9" x14ac:dyDescent="0.35">
      <c r="A89" s="2" t="str">
        <f>CLEAN("DOUGLAS")</f>
        <v>DOUGLAS</v>
      </c>
      <c r="B89" s="2" t="str">
        <f t="shared" si="14"/>
        <v>BURLINGTON NORTHERN SANTA FE RAILWAY</v>
      </c>
      <c r="C89" s="2" t="s">
        <v>3200</v>
      </c>
      <c r="D89" s="2" t="str">
        <f>CLEAN("1199-00-58")</f>
        <v>1199-00-58</v>
      </c>
      <c r="E89" s="3" t="str">
        <f>CLEAN("SUPERIOR - DULUTH")</f>
        <v>SUPERIOR - DULUTH</v>
      </c>
      <c r="F89" s="3" t="str">
        <f>CLEAN("NP RAILOAD RD  BNSF RR XING 082644C")</f>
        <v>NP RAILOAD RD  BNSF RR XING 082644C</v>
      </c>
      <c r="G89" s="3" t="str">
        <f>CLEAN("RR OPS- SURFACE/1199-00-77")</f>
        <v>RR OPS- SURFACE/1199-00-77</v>
      </c>
      <c r="H89" s="2" t="str">
        <f>CLEAN("IH  535")</f>
        <v>IH  535</v>
      </c>
      <c r="I89" s="2" t="str">
        <f>CLEAN("304")</f>
        <v>304</v>
      </c>
    </row>
    <row r="90" spans="1:9" x14ac:dyDescent="0.35">
      <c r="A90" s="2" t="str">
        <f>CLEAN("LA CROSSE")</f>
        <v>LA CROSSE</v>
      </c>
      <c r="B90" s="2" t="str">
        <f t="shared" si="14"/>
        <v>BURLINGTON NORTHERN SANTA FE RAILWAY</v>
      </c>
      <c r="C90" s="2" t="s">
        <v>3310</v>
      </c>
      <c r="D90" s="2" t="str">
        <f>CLEAN("1641-02-53")</f>
        <v>1641-02-53</v>
      </c>
      <c r="E90" s="3" t="str">
        <f>CLEAN("C LACROSSE  SOUTH AVENUE")</f>
        <v>C LACROSSE  SOUTH AVENUE</v>
      </c>
      <c r="F90" s="3" t="str">
        <f>CLEAN("GREEN BAY STREET TO WARD AVENUE")</f>
        <v>GREEN BAY STREET TO WARD AVENUE</v>
      </c>
      <c r="G90" s="3" t="str">
        <f>CLEAN("RR/SURFACE/1641-02-70/RECST")</f>
        <v>RR/SURFACE/1641-02-70/RECST</v>
      </c>
      <c r="H90" s="2" t="str">
        <f>CLEAN("USH 014")</f>
        <v>USH 014</v>
      </c>
      <c r="I90" s="2" t="str">
        <f>CLEAN("303")</f>
        <v>303</v>
      </c>
    </row>
    <row r="91" spans="1:9" x14ac:dyDescent="0.35">
      <c r="A91" s="2" t="str">
        <f>CLEAN("LA CROSSE")</f>
        <v>LA CROSSE</v>
      </c>
      <c r="B91" s="2" t="str">
        <f t="shared" si="14"/>
        <v>BURLINGTON NORTHERN SANTA FE RAILWAY</v>
      </c>
      <c r="C91" s="2" t="s">
        <v>3283</v>
      </c>
      <c r="D91" s="2" t="str">
        <f>CLEAN("5163-07-52")</f>
        <v>5163-07-52</v>
      </c>
      <c r="E91" s="3" t="str">
        <f>CLEAN("GENOA - LACROSSE")</f>
        <v>GENOA - LACROSSE</v>
      </c>
      <c r="F91" s="3" t="str">
        <f>CLEAN("LACROSSE CO LINE TO SUNNYSIDE DR")</f>
        <v>LACROSSE CO LINE TO SUNNYSIDE DR</v>
      </c>
      <c r="G91" s="3" t="str">
        <f>CLEAN("RR SURFACE/5163-07-72/RECST")</f>
        <v>RR SURFACE/5163-07-72/RECST</v>
      </c>
      <c r="H91" s="2" t="str">
        <f>CLEAN("STH 035")</f>
        <v>STH 035</v>
      </c>
      <c r="I91" s="2" t="str">
        <f>CLEAN("303")</f>
        <v>303</v>
      </c>
    </row>
    <row r="92" spans="1:9" x14ac:dyDescent="0.35">
      <c r="A92" s="2" t="str">
        <f>CLEAN("CRAWFORD")</f>
        <v>CRAWFORD</v>
      </c>
      <c r="B92" s="2" t="str">
        <f t="shared" si="14"/>
        <v>BURLINGTON NORTHERN SANTA FE RAILWAY</v>
      </c>
      <c r="C92" s="2" t="s">
        <v>3278</v>
      </c>
      <c r="D92" s="2" t="str">
        <f>CLEAN("5495-01-51")</f>
        <v>5495-01-51</v>
      </c>
      <c r="E92" s="3" t="str">
        <f>CLEAN("T PRAIRIE DU CHIEN  CTH K")</f>
        <v>T PRAIRIE DU CHIEN  CTH K</v>
      </c>
      <c r="F92" s="3" t="str">
        <f>CLEAN("BNSF RR XING 079848K")</f>
        <v>BNSF RR XING 079848K</v>
      </c>
      <c r="G92" s="3" t="str">
        <f>CLEAN("RR OPS/WARNING DEVICE UPGRAD/MISC")</f>
        <v>RR OPS/WARNING DEVICE UPGRAD/MISC</v>
      </c>
      <c r="H92" s="2" t="str">
        <f>CLEAN("CTH K")</f>
        <v>CTH K</v>
      </c>
      <c r="I92" s="2" t="str">
        <f>CLEAN("207")</f>
        <v>207</v>
      </c>
    </row>
    <row r="93" spans="1:9" x14ac:dyDescent="0.35">
      <c r="A93" s="2" t="str">
        <f>CLEAN("LA CROSSE")</f>
        <v>LA CROSSE</v>
      </c>
      <c r="B93" s="2" t="str">
        <f t="shared" si="14"/>
        <v>BURLINGTON NORTHERN SANTA FE RAILWAY</v>
      </c>
      <c r="C93" s="2" t="s">
        <v>3183</v>
      </c>
      <c r="D93" s="2" t="str">
        <f>CLEAN("5991-05-52")</f>
        <v>5991-05-52</v>
      </c>
      <c r="E93" s="3" t="str">
        <f>CLEAN("T OF SHELBY  LOSEY BOULEVARD")</f>
        <v>T OF SHELBY  LOSEY BOULEVARD</v>
      </c>
      <c r="F93" s="3" t="str">
        <f>CLEAN("BNSF RR XING 079827S")</f>
        <v>BNSF RR XING 079827S</v>
      </c>
      <c r="G93" s="3" t="str">
        <f>CLEAN("RR OP/REPL SIGNAL BNGLW CIRC'T/MISC")</f>
        <v>RR OP/REPL SIGNAL BNGLW CIRC'T/MISC</v>
      </c>
      <c r="H93" s="2" t="str">
        <f>CLEAN("LOC STR")</f>
        <v>LOC STR</v>
      </c>
      <c r="I93" s="2" t="str">
        <f>CLEAN("207")</f>
        <v>207</v>
      </c>
    </row>
    <row r="94" spans="1:9" x14ac:dyDescent="0.35">
      <c r="A94" s="2" t="str">
        <f>CLEAN("LA CROSSE")</f>
        <v>LA CROSSE</v>
      </c>
      <c r="B94" s="2" t="str">
        <f t="shared" si="14"/>
        <v>BURLINGTON NORTHERN SANTA FE RAILWAY</v>
      </c>
      <c r="C94" s="2" t="s">
        <v>3246</v>
      </c>
      <c r="D94" s="2" t="str">
        <f>CLEAN("5991-05-53")</f>
        <v>5991-05-53</v>
      </c>
      <c r="E94" s="3" t="str">
        <f>CLEAN("C LA CROSSE  SIMS PLACE")</f>
        <v>C LA CROSSE  SIMS PLACE</v>
      </c>
      <c r="F94" s="3" t="str">
        <f>CLEAN("BNSF RR XING 917431D")</f>
        <v>BNSF RR XING 917431D</v>
      </c>
      <c r="G94" s="3" t="str">
        <f>CLEAN("RR OPS/REPL SIGNALS; ADD GATES/MISC")</f>
        <v>RR OPS/REPL SIGNALS; ADD GATES/MISC</v>
      </c>
      <c r="H94" s="2" t="str">
        <f>CLEAN("LOC STR")</f>
        <v>LOC STR</v>
      </c>
      <c r="I94" s="2" t="str">
        <f>CLEAN("207")</f>
        <v>207</v>
      </c>
    </row>
    <row r="95" spans="1:9" x14ac:dyDescent="0.35">
      <c r="A95" s="2" t="str">
        <f>CLEAN("BUFFALO")</f>
        <v>BUFFALO</v>
      </c>
      <c r="B95" s="2" t="str">
        <f t="shared" si="14"/>
        <v>BURLINGTON NORTHERN SANTA FE RAILWAY</v>
      </c>
      <c r="C95" s="2" t="s">
        <v>3194</v>
      </c>
      <c r="D95" s="2" t="str">
        <f>CLEAN("7160-04-56")</f>
        <v>7160-04-56</v>
      </c>
      <c r="E95" s="3" t="str">
        <f>CLEAN("TREMPEALEAU - ALMA")</f>
        <v>TREMPEALEAU - ALMA</v>
      </c>
      <c r="F95" s="3" t="str">
        <f>CLEAN("BNSF R/R X-ING 079923U")</f>
        <v>BNSF R/R X-ING 079923U</v>
      </c>
      <c r="G95" s="3" t="str">
        <f>CLEAN("RR OPS - SIGNALS")</f>
        <v>RR OPS - SIGNALS</v>
      </c>
      <c r="H95" s="2" t="str">
        <f>CLEAN("STH 035")</f>
        <v>STH 035</v>
      </c>
      <c r="I95" s="2" t="str">
        <f>CLEAN("303")</f>
        <v>303</v>
      </c>
    </row>
    <row r="96" spans="1:9" x14ac:dyDescent="0.35">
      <c r="A96" s="2" t="str">
        <f>CLEAN("BUFFALO")</f>
        <v>BUFFALO</v>
      </c>
      <c r="B96" s="2" t="str">
        <f t="shared" si="14"/>
        <v>BURLINGTON NORTHERN SANTA FE RAILWAY</v>
      </c>
      <c r="C96" s="2" t="s">
        <v>3242</v>
      </c>
      <c r="D96" s="2" t="str">
        <f>CLEAN("7170-00-50")</f>
        <v>7170-00-50</v>
      </c>
      <c r="E96" s="3" t="str">
        <f>CLEAN("WABASHA - DURAND")</f>
        <v>WABASHA - DURAND</v>
      </c>
      <c r="F96" s="3" t="str">
        <f>CLEAN("BNSF RR XING 079957N")</f>
        <v>BNSF RR XING 079957N</v>
      </c>
      <c r="G96" s="3" t="str">
        <f>CLEAN("RR OPS/RAIL-HIGHWAY CROSSING REPAIR")</f>
        <v>RR OPS/RAIL-HIGHWAY CROSSING REPAIR</v>
      </c>
      <c r="H96" s="2" t="str">
        <f>CLEAN("STH 025")</f>
        <v>STH 025</v>
      </c>
      <c r="I96" s="2" t="str">
        <f>CLEAN("303")</f>
        <v>303</v>
      </c>
    </row>
    <row r="97" spans="1:9" x14ac:dyDescent="0.35">
      <c r="A97" s="2" t="str">
        <f>CLEAN("PIERCE")</f>
        <v>PIERCE</v>
      </c>
      <c r="B97" s="2" t="str">
        <f t="shared" si="14"/>
        <v>BURLINGTON NORTHERN SANTA FE RAILWAY</v>
      </c>
      <c r="C97" s="2" t="s">
        <v>3114</v>
      </c>
      <c r="D97" s="2" t="str">
        <f>CLEAN("7893-00-50")</f>
        <v>7893-00-50</v>
      </c>
      <c r="E97" s="3" t="str">
        <f>CLEAN("T DIAMOND BLUFF  LOWER RIVER ROAD")</f>
        <v>T DIAMOND BLUFF  LOWER RIVER ROAD</v>
      </c>
      <c r="F97" s="3" t="str">
        <f>CLEAN("BNSF RR XING 080030K")</f>
        <v>BNSF RR XING 080030K</v>
      </c>
      <c r="G97" s="3" t="str">
        <f>CLEAN("R/R OPS/SAFETY RAIL WARNING DEVICES")</f>
        <v>R/R OPS/SAFETY RAIL WARNING DEVICES</v>
      </c>
      <c r="H97" s="2" t="str">
        <f>CLEAN("LOC STR")</f>
        <v>LOC STR</v>
      </c>
      <c r="I97" s="2" t="str">
        <f>CLEAN("207")</f>
        <v>207</v>
      </c>
    </row>
    <row r="98" spans="1:9" x14ac:dyDescent="0.35">
      <c r="A98" s="2" t="str">
        <f>CLEAN("DOUGLAS")</f>
        <v>DOUGLAS</v>
      </c>
      <c r="B98" s="2" t="str">
        <f t="shared" si="14"/>
        <v>BURLINGTON NORTHERN SANTA FE RAILWAY</v>
      </c>
      <c r="C98" s="2" t="s">
        <v>3178</v>
      </c>
      <c r="D98" s="2" t="str">
        <f>CLEAN("8010-07-50")</f>
        <v>8010-07-50</v>
      </c>
      <c r="E98" s="3" t="str">
        <f>CLEAN("C SUPERIOR  TOWER AVENUE")</f>
        <v>C SUPERIOR  TOWER AVENUE</v>
      </c>
      <c r="F98" s="3" t="str">
        <f>CLEAN("BNSF RAIL X-ING 082857M &amp; 082858U")</f>
        <v>BNSF RAIL X-ING 082857M &amp; 082858U</v>
      </c>
      <c r="G98" s="3" t="str">
        <f>CLEAN("RHCSP/RAIL SFTY/INTERCONNECT SGNLS")</f>
        <v>RHCSP/RAIL SFTY/INTERCONNECT SGNLS</v>
      </c>
      <c r="H98" s="2" t="str">
        <f>CLEAN("STH 035")</f>
        <v>STH 035</v>
      </c>
      <c r="I98" s="2" t="str">
        <f>CLEAN("303")</f>
        <v>303</v>
      </c>
    </row>
    <row r="99" spans="1:9" x14ac:dyDescent="0.35">
      <c r="A99" s="2" t="str">
        <f>CLEAN("DOUGLAS")</f>
        <v>DOUGLAS</v>
      </c>
      <c r="B99" s="2" t="str">
        <f t="shared" si="14"/>
        <v>BURLINGTON NORTHERN SANTA FE RAILWAY</v>
      </c>
      <c r="C99" s="2" t="s">
        <v>3097</v>
      </c>
      <c r="D99" s="2" t="str">
        <f>CLEAN("8758-00-51")</f>
        <v>8758-00-51</v>
      </c>
      <c r="E99" s="3" t="str">
        <f>CLEAN("MN STATE LINE - STH 35")</f>
        <v>MN STATE LINE - STH 35</v>
      </c>
      <c r="F99" s="3" t="str">
        <f>CLEAN("BNSF RR XING 067768H")</f>
        <v>BNSF RR XING 067768H</v>
      </c>
      <c r="G99" s="3" t="str">
        <f>CLEAN("R/R OPS - REPLACE CROSSING SURFACE")</f>
        <v>R/R OPS - REPLACE CROSSING SURFACE</v>
      </c>
      <c r="H99" s="2" t="str">
        <f>CLEAN("CTH C")</f>
        <v>CTH C</v>
      </c>
      <c r="I99" s="2" t="str">
        <f>CLEAN("206")</f>
        <v>206</v>
      </c>
    </row>
    <row r="100" spans="1:9" x14ac:dyDescent="0.35">
      <c r="A100" s="2" t="str">
        <f>CLEAN("DOUGLAS")</f>
        <v>DOUGLAS</v>
      </c>
      <c r="B100" s="2" t="str">
        <f t="shared" si="14"/>
        <v>BURLINGTON NORTHERN SANTA FE RAILWAY</v>
      </c>
      <c r="C100" s="2" t="s">
        <v>3115</v>
      </c>
      <c r="D100" s="2" t="str">
        <f>CLEAN("8758-00-52")</f>
        <v>8758-00-52</v>
      </c>
      <c r="E100" s="3" t="str">
        <f>CLEAN("DEWEY - STH 35")</f>
        <v>DEWEY - STH 35</v>
      </c>
      <c r="F100" s="3" t="str">
        <f>CLEAN("BNSF RR XING 086402V")</f>
        <v>BNSF RR XING 086402V</v>
      </c>
      <c r="G100" s="3" t="str">
        <f>CLEAN("R/R OPS/SAFETY RAIL WARNING DEVICES")</f>
        <v>R/R OPS/SAFETY RAIL WARNING DEVICES</v>
      </c>
      <c r="H100" s="2" t="str">
        <f>CLEAN("CTH C")</f>
        <v>CTH C</v>
      </c>
      <c r="I100" s="2" t="str">
        <f>CLEAN("207")</f>
        <v>207</v>
      </c>
    </row>
    <row r="101" spans="1:9" x14ac:dyDescent="0.35">
      <c r="A101" s="2" t="str">
        <f>CLEAN("DOUGLAS")</f>
        <v>DOUGLAS</v>
      </c>
      <c r="B101" s="2" t="str">
        <f t="shared" si="14"/>
        <v>BURLINGTON NORTHERN SANTA FE RAILWAY</v>
      </c>
      <c r="C101" s="2" t="s">
        <v>3113</v>
      </c>
      <c r="D101" s="2" t="str">
        <f>CLEAN("8759-00-50")</f>
        <v>8759-00-50</v>
      </c>
      <c r="E101" s="3" t="str">
        <f>CLEAN("FOXBORO - DEWEY")</f>
        <v>FOXBORO - DEWEY</v>
      </c>
      <c r="F101" s="3" t="str">
        <f>CLEAN("BNSF RR XING 061443D")</f>
        <v>BNSF RR XING 061443D</v>
      </c>
      <c r="G101" s="3" t="str">
        <f>CLEAN("R/R OPS/SAFETY RAIL WARNING DEVICES")</f>
        <v>R/R OPS/SAFETY RAIL WARNING DEVICES</v>
      </c>
      <c r="H101" s="2" t="str">
        <f>CLEAN("CTH W")</f>
        <v>CTH W</v>
      </c>
      <c r="I101" s="2" t="str">
        <f>CLEAN("207")</f>
        <v>207</v>
      </c>
    </row>
    <row r="102" spans="1:9" x14ac:dyDescent="0.35">
      <c r="A102" s="2" t="str">
        <f>CLEAN("BURNETT")</f>
        <v>BURNETT</v>
      </c>
      <c r="B102" s="2" t="str">
        <f>CLEAN("BURNETT COUNTY")</f>
        <v>BURNETT COUNTY</v>
      </c>
      <c r="C102" s="2" t="s">
        <v>1513</v>
      </c>
      <c r="D102" s="2" t="str">
        <f>CLEAN("8368-00-00")</f>
        <v>8368-00-00</v>
      </c>
      <c r="E102" s="3" t="str">
        <f>CLEAN("WEBSTER - HERTEL")</f>
        <v>WEBSTER - HERTEL</v>
      </c>
      <c r="F102" s="3" t="str">
        <f>CLEAN("STH 35 TO GASLYN ROAD")</f>
        <v>STH 35 TO GASLYN ROAD</v>
      </c>
      <c r="G102" s="3" t="str">
        <f>CLEAN("DESIGN - FULL PS&amp;E PVRPLA")</f>
        <v>DESIGN - FULL PS&amp;E PVRPLA</v>
      </c>
      <c r="H102" s="2" t="str">
        <f>CLEAN("CTH X")</f>
        <v>CTH X</v>
      </c>
      <c r="I102" s="2" t="str">
        <f>CLEAN("206")</f>
        <v>206</v>
      </c>
    </row>
    <row r="103" spans="1:9" x14ac:dyDescent="0.35">
      <c r="A103" s="2" t="str">
        <f>CLEAN("BURNETT")</f>
        <v>BURNETT</v>
      </c>
      <c r="B103" s="2" t="str">
        <f>CLEAN("BURNETT COUNTY")</f>
        <v>BURNETT COUNTY</v>
      </c>
      <c r="C103" s="2" t="s">
        <v>1309</v>
      </c>
      <c r="D103" s="2" t="str">
        <f>CLEAN("8368-00-70")</f>
        <v>8368-00-70</v>
      </c>
      <c r="E103" s="3" t="str">
        <f>CLEAN("WEBSTER - HERTEL")</f>
        <v>WEBSTER - HERTEL</v>
      </c>
      <c r="F103" s="3" t="str">
        <f>CLEAN("STH 35 TO GASLYN ROAD")</f>
        <v>STH 35 TO GASLYN ROAD</v>
      </c>
      <c r="G103" s="3" t="str">
        <f>CLEAN("CONSTRUCTION/PVRPLA")</f>
        <v>CONSTRUCTION/PVRPLA</v>
      </c>
      <c r="H103" s="2" t="str">
        <f>CLEAN("CTH X")</f>
        <v>CTH X</v>
      </c>
      <c r="I103" s="2" t="str">
        <f>CLEAN("206")</f>
        <v>206</v>
      </c>
    </row>
    <row r="104" spans="1:9" x14ac:dyDescent="0.35">
      <c r="A104" s="2" t="str">
        <f>CLEAN("BURNETT")</f>
        <v>BURNETT</v>
      </c>
      <c r="B104" s="2" t="str">
        <f>CLEAN("BURNETT COUNTY")</f>
        <v>BURNETT COUNTY</v>
      </c>
      <c r="C104" s="2" t="s">
        <v>1434</v>
      </c>
      <c r="D104" s="2" t="str">
        <f>CLEAN("8374-00-00")</f>
        <v>8374-00-00</v>
      </c>
      <c r="E104" s="3" t="str">
        <f>CLEAN("T SIREN  BURNIKEL ROAD")</f>
        <v>T SIREN  BURNIKEL ROAD</v>
      </c>
      <c r="F104" s="3" t="str">
        <f>CLEAN("CLAM RIVER BRIDGE P-07-0904")</f>
        <v>CLAM RIVER BRIDGE P-07-0904</v>
      </c>
      <c r="G104" s="3" t="str">
        <f>CLEAN("DESIGN - FULL PS&amp;E BRRPL")</f>
        <v>DESIGN - FULL PS&amp;E BRRPL</v>
      </c>
      <c r="H104" s="2" t="str">
        <f t="shared" ref="H104:H112" si="15">CLEAN("LOC STR")</f>
        <v>LOC STR</v>
      </c>
      <c r="I104" s="2" t="str">
        <f t="shared" ref="I104:I112" si="16">CLEAN("205")</f>
        <v>205</v>
      </c>
    </row>
    <row r="105" spans="1:9" x14ac:dyDescent="0.35">
      <c r="A105" s="2" t="str">
        <f>CLEAN("BURNETT")</f>
        <v>BURNETT</v>
      </c>
      <c r="B105" s="2" t="str">
        <f>CLEAN("BURNETT COUNTY")</f>
        <v>BURNETT COUNTY</v>
      </c>
      <c r="C105" s="2" t="s">
        <v>1166</v>
      </c>
      <c r="D105" s="2" t="str">
        <f>CLEAN("8374-00-70")</f>
        <v>8374-00-70</v>
      </c>
      <c r="E105" s="3" t="str">
        <f>CLEAN("T SIREN  BURNIKEL ROAD")</f>
        <v>T SIREN  BURNIKEL ROAD</v>
      </c>
      <c r="F105" s="3" t="str">
        <f>CLEAN("CLAM RIVER BRIDGE B-07-0061")</f>
        <v>CLAM RIVER BRIDGE B-07-0061</v>
      </c>
      <c r="G105" s="3" t="str">
        <f>CLEAN("CONSTRUCTION/BRIDGE REPLACEMENT")</f>
        <v>CONSTRUCTION/BRIDGE REPLACEMENT</v>
      </c>
      <c r="H105" s="2" t="str">
        <f t="shared" si="15"/>
        <v>LOC STR</v>
      </c>
      <c r="I105" s="2" t="str">
        <f t="shared" si="16"/>
        <v>205</v>
      </c>
    </row>
    <row r="106" spans="1:9" x14ac:dyDescent="0.35">
      <c r="A106" s="2" t="str">
        <f t="shared" ref="A106:A116" si="17">CLEAN("CALUMET")</f>
        <v>CALUMET</v>
      </c>
      <c r="B106" s="2" t="str">
        <f t="shared" ref="B106:B116" si="18">CLEAN("CALUMET COUNTY")</f>
        <v>CALUMET COUNTY</v>
      </c>
      <c r="C106" s="2" t="s">
        <v>2456</v>
      </c>
      <c r="D106" s="2" t="str">
        <f>CLEAN("4472-05-00")</f>
        <v>4472-05-00</v>
      </c>
      <c r="E106" s="3" t="str">
        <f>CLEAN("CHILTON - CHARLESTOWN")</f>
        <v>CHILTON - CHARLESTOWN</v>
      </c>
      <c r="F106" s="3" t="str">
        <f>CLEAN("BRANCH OF PINE CREEK BRIDGE")</f>
        <v>BRANCH OF PINE CREEK BRIDGE</v>
      </c>
      <c r="G106" s="3" t="str">
        <f>CLEAN("DSN/FULL PSE/BRRPL P080036")</f>
        <v>DSN/FULL PSE/BRRPL P080036</v>
      </c>
      <c r="H106" s="2" t="str">
        <f t="shared" si="15"/>
        <v>LOC STR</v>
      </c>
      <c r="I106" s="2" t="str">
        <f t="shared" si="16"/>
        <v>205</v>
      </c>
    </row>
    <row r="107" spans="1:9" x14ac:dyDescent="0.35">
      <c r="A107" s="2" t="str">
        <f t="shared" si="17"/>
        <v>CALUMET</v>
      </c>
      <c r="B107" s="2" t="str">
        <f t="shared" si="18"/>
        <v>CALUMET COUNTY</v>
      </c>
      <c r="C107" s="2" t="s">
        <v>149</v>
      </c>
      <c r="D107" s="2" t="str">
        <f>CLEAN("4472-05-71")</f>
        <v>4472-05-71</v>
      </c>
      <c r="E107" s="3" t="str">
        <f>CLEAN("CHILTON - CHARLESTOWN")</f>
        <v>CHILTON - CHARLESTOWN</v>
      </c>
      <c r="F107" s="3" t="str">
        <f>CLEAN("BRANCH OF PINE CREEK BRIDGE")</f>
        <v>BRANCH OF PINE CREEK BRIDGE</v>
      </c>
      <c r="G107" s="3" t="str">
        <f>CLEAN("CONST OPS/BRRPL B080122")</f>
        <v>CONST OPS/BRRPL B080122</v>
      </c>
      <c r="H107" s="2" t="str">
        <f t="shared" si="15"/>
        <v>LOC STR</v>
      </c>
      <c r="I107" s="2" t="str">
        <f t="shared" si="16"/>
        <v>205</v>
      </c>
    </row>
    <row r="108" spans="1:9" x14ac:dyDescent="0.35">
      <c r="A108" s="2" t="str">
        <f t="shared" si="17"/>
        <v>CALUMET</v>
      </c>
      <c r="B108" s="2" t="str">
        <f t="shared" si="18"/>
        <v>CALUMET COUNTY</v>
      </c>
      <c r="C108" s="2" t="s">
        <v>2364</v>
      </c>
      <c r="D108" s="2" t="str">
        <f>CLEAN("4472-06-00")</f>
        <v>4472-06-00</v>
      </c>
      <c r="E108" s="3" t="str">
        <f>CLEAN("T CHARLESTOWN  LEMKE ROAD")</f>
        <v>T CHARLESTOWN  LEMKE ROAD</v>
      </c>
      <c r="F108" s="3" t="str">
        <f>CLEAN("KILLSNAKE RIVER BRIDGE")</f>
        <v>KILLSNAKE RIVER BRIDGE</v>
      </c>
      <c r="G108" s="3" t="str">
        <f>CLEAN("DSGN/FULL PSE/BRRPL P-08-0034")</f>
        <v>DSGN/FULL PSE/BRRPL P-08-0034</v>
      </c>
      <c r="H108" s="2" t="str">
        <f t="shared" si="15"/>
        <v>LOC STR</v>
      </c>
      <c r="I108" s="2" t="str">
        <f t="shared" si="16"/>
        <v>205</v>
      </c>
    </row>
    <row r="109" spans="1:9" x14ac:dyDescent="0.35">
      <c r="A109" s="2" t="str">
        <f t="shared" si="17"/>
        <v>CALUMET</v>
      </c>
      <c r="B109" s="2" t="str">
        <f t="shared" si="18"/>
        <v>CALUMET COUNTY</v>
      </c>
      <c r="C109" s="2" t="s">
        <v>2365</v>
      </c>
      <c r="D109" s="2" t="str">
        <f>CLEAN("4472-07-00")</f>
        <v>4472-07-00</v>
      </c>
      <c r="E109" s="3" t="str">
        <f>CLEAN("T CHARLESTOWN  WEEKS ROAD")</f>
        <v>T CHARLESTOWN  WEEKS ROAD</v>
      </c>
      <c r="F109" s="3" t="str">
        <f>CLEAN("KILLSNAKE RIVER BRIDGE")</f>
        <v>KILLSNAKE RIVER BRIDGE</v>
      </c>
      <c r="G109" s="3" t="str">
        <f>CLEAN("DSGN/FULL PSE/BRRPL P-08-0039")</f>
        <v>DSGN/FULL PSE/BRRPL P-08-0039</v>
      </c>
      <c r="H109" s="2" t="str">
        <f t="shared" si="15"/>
        <v>LOC STR</v>
      </c>
      <c r="I109" s="2" t="str">
        <f t="shared" si="16"/>
        <v>205</v>
      </c>
    </row>
    <row r="110" spans="1:9" x14ac:dyDescent="0.35">
      <c r="A110" s="2" t="str">
        <f t="shared" si="17"/>
        <v>CALUMET</v>
      </c>
      <c r="B110" s="2" t="str">
        <f t="shared" si="18"/>
        <v>CALUMET COUNTY</v>
      </c>
      <c r="C110" s="2" t="s">
        <v>2366</v>
      </c>
      <c r="D110" s="2" t="str">
        <f>CLEAN("4476-04-00")</f>
        <v>4476-04-00</v>
      </c>
      <c r="E110" s="3" t="str">
        <f>CLEAN("C CHILTON  E GRAND STREET")</f>
        <v>C CHILTON  E GRAND STREET</v>
      </c>
      <c r="F110" s="3" t="str">
        <f>CLEAN("SOUTH BRANCH MANITOWOC RIVER BRIDGE")</f>
        <v>SOUTH BRANCH MANITOWOC RIVER BRIDGE</v>
      </c>
      <c r="G110" s="3" t="str">
        <f>CLEAN("DSGN/FULL PSE/BRRPL P-08-0705")</f>
        <v>DSGN/FULL PSE/BRRPL P-08-0705</v>
      </c>
      <c r="H110" s="2" t="str">
        <f t="shared" si="15"/>
        <v>LOC STR</v>
      </c>
      <c r="I110" s="2" t="str">
        <f t="shared" si="16"/>
        <v>205</v>
      </c>
    </row>
    <row r="111" spans="1:9" x14ac:dyDescent="0.35">
      <c r="A111" s="2" t="str">
        <f t="shared" si="17"/>
        <v>CALUMET</v>
      </c>
      <c r="B111" s="2" t="str">
        <f t="shared" si="18"/>
        <v>CALUMET COUNTY</v>
      </c>
      <c r="C111" s="2" t="s">
        <v>2367</v>
      </c>
      <c r="D111" s="2" t="str">
        <f>CLEAN("4478-02-00")</f>
        <v>4478-02-00</v>
      </c>
      <c r="E111" s="3" t="str">
        <f>CLEAN("T STOCKBRIDGE  LAKESHORE DRIVE")</f>
        <v>T STOCKBRIDGE  LAKESHORE DRIVE</v>
      </c>
      <c r="F111" s="3" t="str">
        <f>CLEAN("MUD CREEK BRIDGE")</f>
        <v>MUD CREEK BRIDGE</v>
      </c>
      <c r="G111" s="3" t="str">
        <f>CLEAN("DSGN/FULL PSE/BRRPL P-08-0905")</f>
        <v>DSGN/FULL PSE/BRRPL P-08-0905</v>
      </c>
      <c r="H111" s="2" t="str">
        <f t="shared" si="15"/>
        <v>LOC STR</v>
      </c>
      <c r="I111" s="2" t="str">
        <f t="shared" si="16"/>
        <v>205</v>
      </c>
    </row>
    <row r="112" spans="1:9" x14ac:dyDescent="0.35">
      <c r="A112" s="2" t="str">
        <f t="shared" si="17"/>
        <v>CALUMET</v>
      </c>
      <c r="B112" s="2" t="str">
        <f t="shared" si="18"/>
        <v>CALUMET COUNTY</v>
      </c>
      <c r="C112" s="2" t="s">
        <v>156</v>
      </c>
      <c r="D112" s="2" t="str">
        <f>CLEAN("4478-02-70")</f>
        <v>4478-02-70</v>
      </c>
      <c r="E112" s="3" t="str">
        <f>CLEAN("T STOCKBRIDGE  LAKESHORE DRIVE")</f>
        <v>T STOCKBRIDGE  LAKESHORE DRIVE</v>
      </c>
      <c r="F112" s="3" t="str">
        <f>CLEAN("MUD CREEK BRIDGE")</f>
        <v>MUD CREEK BRIDGE</v>
      </c>
      <c r="G112" s="3" t="str">
        <f>CLEAN("CONST OPS/BRRPL P-08-0905")</f>
        <v>CONST OPS/BRRPL P-08-0905</v>
      </c>
      <c r="H112" s="2" t="str">
        <f t="shared" si="15"/>
        <v>LOC STR</v>
      </c>
      <c r="I112" s="2" t="str">
        <f t="shared" si="16"/>
        <v>205</v>
      </c>
    </row>
    <row r="113" spans="1:9" x14ac:dyDescent="0.35">
      <c r="A113" s="2" t="str">
        <f t="shared" si="17"/>
        <v>CALUMET</v>
      </c>
      <c r="B113" s="2" t="str">
        <f t="shared" si="18"/>
        <v>CALUMET COUNTY</v>
      </c>
      <c r="C113" s="2" t="s">
        <v>2468</v>
      </c>
      <c r="D113" s="2" t="str">
        <f>CLEAN("4482-00-00")</f>
        <v>4482-00-00</v>
      </c>
      <c r="E113" s="3" t="str">
        <f>CLEAN("CALUMET CO  CTH B")</f>
        <v>CALUMET CO  CTH B</v>
      </c>
      <c r="F113" s="3" t="str">
        <f>CLEAN("STH 55 TO STH 32")</f>
        <v>STH 55 TO STH 32</v>
      </c>
      <c r="G113" s="3" t="str">
        <f>CLEAN("DSN/FULL PSE/PVRPLA")</f>
        <v>DSN/FULL PSE/PVRPLA</v>
      </c>
      <c r="H113" s="2" t="str">
        <f>CLEAN("CTH B")</f>
        <v>CTH B</v>
      </c>
      <c r="I113" s="2" t="str">
        <f>CLEAN("206")</f>
        <v>206</v>
      </c>
    </row>
    <row r="114" spans="1:9" x14ac:dyDescent="0.35">
      <c r="A114" s="2" t="str">
        <f t="shared" si="17"/>
        <v>CALUMET</v>
      </c>
      <c r="B114" s="2" t="str">
        <f t="shared" si="18"/>
        <v>CALUMET COUNTY</v>
      </c>
      <c r="C114" s="2" t="s">
        <v>218</v>
      </c>
      <c r="D114" s="2" t="str">
        <f>CLEAN("4482-00-01")</f>
        <v>4482-00-01</v>
      </c>
      <c r="E114" s="3" t="str">
        <f>CLEAN("CALUMET CO  CTH B")</f>
        <v>CALUMET CO  CTH B</v>
      </c>
      <c r="F114" s="3" t="str">
        <f>CLEAN("STH 55 TO STH 32")</f>
        <v>STH 55 TO STH 32</v>
      </c>
      <c r="G114" s="3" t="str">
        <f>CLEAN("CONST OPS/PVRPLA")</f>
        <v>CONST OPS/PVRPLA</v>
      </c>
      <c r="H114" s="2" t="str">
        <f>CLEAN("CTH B")</f>
        <v>CTH B</v>
      </c>
      <c r="I114" s="2" t="str">
        <f>CLEAN("206")</f>
        <v>206</v>
      </c>
    </row>
    <row r="115" spans="1:9" x14ac:dyDescent="0.35">
      <c r="A115" s="2" t="str">
        <f t="shared" si="17"/>
        <v>CALUMET</v>
      </c>
      <c r="B115" s="2" t="str">
        <f t="shared" si="18"/>
        <v>CALUMET COUNTY</v>
      </c>
      <c r="C115" s="2" t="s">
        <v>3295</v>
      </c>
      <c r="D115" s="2" t="str">
        <f>CLEAN("4482-00-50")</f>
        <v>4482-00-50</v>
      </c>
      <c r="E115" s="3" t="str">
        <f>CLEAN("CALUMET CO  CTH B")</f>
        <v>CALUMET CO  CTH B</v>
      </c>
      <c r="F115" s="3" t="str">
        <f>CLEAN("CN RR XING SURFACE 386698A")</f>
        <v>CN RR XING SURFACE 386698A</v>
      </c>
      <c r="G115" s="3" t="str">
        <f>CLEAN("RR/MISC")</f>
        <v>RR/MISC</v>
      </c>
      <c r="H115" s="2" t="str">
        <f>CLEAN("CTH B")</f>
        <v>CTH B</v>
      </c>
      <c r="I115" s="2" t="str">
        <f>CLEAN("206")</f>
        <v>206</v>
      </c>
    </row>
    <row r="116" spans="1:9" x14ac:dyDescent="0.35">
      <c r="A116" s="2" t="str">
        <f t="shared" si="17"/>
        <v>CALUMET</v>
      </c>
      <c r="B116" s="2" t="str">
        <f t="shared" si="18"/>
        <v>CALUMET COUNTY</v>
      </c>
      <c r="C116" s="2" t="s">
        <v>3233</v>
      </c>
      <c r="D116" s="2" t="str">
        <f>CLEAN("4482-00-51")</f>
        <v>4482-00-51</v>
      </c>
      <c r="E116" s="3" t="str">
        <f>CLEAN("CALUMET CO  CTH B")</f>
        <v>CALUMET CO  CTH B</v>
      </c>
      <c r="F116" s="3" t="str">
        <f>CLEAN("CN RR XING SIGNALS &amp; GATES 386698A")</f>
        <v>CN RR XING SIGNALS &amp; GATES 386698A</v>
      </c>
      <c r="G116" s="3" t="str">
        <f>CLEAN("RR OPS/MISC")</f>
        <v>RR OPS/MISC</v>
      </c>
      <c r="H116" s="2" t="str">
        <f>CLEAN("CTH B")</f>
        <v>CTH B</v>
      </c>
      <c r="I116" s="2" t="str">
        <f>CLEAN("206")</f>
        <v>206</v>
      </c>
    </row>
    <row r="117" spans="1:9" x14ac:dyDescent="0.35">
      <c r="A117" s="2" t="str">
        <f>CLEAN("FOND DU LAC")</f>
        <v>FOND DU LAC</v>
      </c>
      <c r="B117" s="2" t="str">
        <f>CLEAN("CANADIAN NATIONAL")</f>
        <v>CANADIAN NATIONAL</v>
      </c>
      <c r="C117" s="2" t="s">
        <v>19</v>
      </c>
      <c r="D117" s="2" t="str">
        <f>CLEAN("4809-06-50")</f>
        <v>4809-06-50</v>
      </c>
      <c r="E117" s="3" t="str">
        <f>CLEAN("GROVE STREET BRIDGE &amp; APPROACHES")</f>
        <v>GROVE STREET BRIDGE &amp; APPROACHES</v>
      </c>
      <c r="F117" s="3" t="str">
        <f>CLEAN("CN RR XING SURFACE 389189N")</f>
        <v>CN RR XING SURFACE 389189N</v>
      </c>
      <c r="G117" s="3" t="str">
        <f>CLEAN("BRIDGE R/W-YES")</f>
        <v>BRIDGE R/W-YES</v>
      </c>
      <c r="H117" s="2" t="str">
        <f>CLEAN("LOC STR")</f>
        <v>LOC STR</v>
      </c>
      <c r="I117" s="2" t="str">
        <f>CLEAN("206")</f>
        <v>206</v>
      </c>
    </row>
    <row r="118" spans="1:9" x14ac:dyDescent="0.35">
      <c r="A118" s="2" t="str">
        <f>CLEAN("JUNEAU")</f>
        <v>JUNEAU</v>
      </c>
      <c r="B118" s="2" t="str">
        <f>CLEAN("CANADIAN NATIONAL")</f>
        <v>CANADIAN NATIONAL</v>
      </c>
      <c r="C118" s="2" t="s">
        <v>3214</v>
      </c>
      <c r="D118" s="2" t="str">
        <f>CLEAN("5530-00-52")</f>
        <v>5530-00-52</v>
      </c>
      <c r="E118" s="3" t="str">
        <f>CLEAN("NEW LISBON - NECEDAH")</f>
        <v>NEW LISBON - NECEDAH</v>
      </c>
      <c r="F118" s="3" t="str">
        <f>CLEAN("CANADIAN NATIONAL RR XING 392654N")</f>
        <v>CANADIAN NATIONAL RR XING 392654N</v>
      </c>
      <c r="G118" s="3" t="str">
        <f>CLEAN("RR OPS/CROSSING REPAIR")</f>
        <v>RR OPS/CROSSING REPAIR</v>
      </c>
      <c r="H118" s="2" t="str">
        <f>CLEAN("STH 080")</f>
        <v>STH 080</v>
      </c>
      <c r="I118" s="2" t="str">
        <f>CLEAN("207")</f>
        <v>207</v>
      </c>
    </row>
    <row r="119" spans="1:9" x14ac:dyDescent="0.35">
      <c r="A119" s="2" t="str">
        <f>CLEAN("JUNEAU")</f>
        <v>JUNEAU</v>
      </c>
      <c r="B119" s="2" t="str">
        <f>CLEAN("CANADIAN NATIONAL")</f>
        <v>CANADIAN NATIONAL</v>
      </c>
      <c r="C119" s="2" t="s">
        <v>3314</v>
      </c>
      <c r="D119" s="2" t="str">
        <f>CLEAN("6160-00-50")</f>
        <v>6160-00-50</v>
      </c>
      <c r="E119" s="3" t="str">
        <f>CLEAN("NECEDAH - COLOMA")</f>
        <v>NECEDAH - COLOMA</v>
      </c>
      <c r="F119" s="3" t="str">
        <f>CLEAN("SHERIDAN STREET TO EAST COUNTY LINE")</f>
        <v>SHERIDAN STREET TO EAST COUNTY LINE</v>
      </c>
      <c r="G119" s="3" t="str">
        <f>CLEAN("RR/UPGRADE CROSSING 392668W/RSRF")</f>
        <v>RR/UPGRADE CROSSING 392668W/RSRF</v>
      </c>
      <c r="H119" s="2" t="str">
        <f>CLEAN("STH 021")</f>
        <v>STH 021</v>
      </c>
      <c r="I119" s="2" t="str">
        <f>CLEAN("303")</f>
        <v>303</v>
      </c>
    </row>
    <row r="120" spans="1:9" x14ac:dyDescent="0.35">
      <c r="A120" s="2" t="str">
        <f>CLEAN("WOOD")</f>
        <v>WOOD</v>
      </c>
      <c r="B120" s="2" t="str">
        <f>CLEAN("CANADIAN NATIONAL")</f>
        <v>CANADIAN NATIONAL</v>
      </c>
      <c r="C120" s="2" t="s">
        <v>648</v>
      </c>
      <c r="D120" s="2" t="str">
        <f>CLEAN("6933-00-52")</f>
        <v>6933-00-52</v>
      </c>
      <c r="E120" s="3" t="str">
        <f>CLEAN("BABCOCK - NEKOOSA")</f>
        <v>BABCOCK - NEKOOSA</v>
      </c>
      <c r="F120" s="3" t="str">
        <f>CLEAN("CTH G (N) TO STH 73 CN RR")</f>
        <v>CTH G (N) TO STH 73 CN RR</v>
      </c>
      <c r="G120" s="3" t="str">
        <f>CLEAN("CONST/OPS SIGNAL/910778N MP 43.90")</f>
        <v>CONST/OPS SIGNAL/910778N MP 43.90</v>
      </c>
      <c r="H120" s="2" t="str">
        <f>CLEAN("STH 173")</f>
        <v>STH 173</v>
      </c>
      <c r="I120" s="2" t="str">
        <f>CLEAN("303")</f>
        <v>303</v>
      </c>
    </row>
    <row r="121" spans="1:9" x14ac:dyDescent="0.35">
      <c r="A121" s="2" t="str">
        <f>CLEAN("WOOD")</f>
        <v>WOOD</v>
      </c>
      <c r="B121" s="2" t="str">
        <f>CLEAN("CANADIAN NATIONAL")</f>
        <v>CANADIAN NATIONAL</v>
      </c>
      <c r="C121" s="2" t="s">
        <v>649</v>
      </c>
      <c r="D121" s="2" t="str">
        <f>CLEAN("6933-00-53")</f>
        <v>6933-00-53</v>
      </c>
      <c r="E121" s="3" t="str">
        <f>CLEAN("BABCOCK - NEKOOSA")</f>
        <v>BABCOCK - NEKOOSA</v>
      </c>
      <c r="F121" s="3" t="str">
        <f>CLEAN("CTH G (N) TO STH 73 CN RR")</f>
        <v>CTH G (N) TO STH 73 CN RR</v>
      </c>
      <c r="G121" s="3" t="str">
        <f>CLEAN("CONST/OPS SURFACE/910778N MP 43.90")</f>
        <v>CONST/OPS SURFACE/910778N MP 43.90</v>
      </c>
      <c r="H121" s="2" t="str">
        <f>CLEAN("STH 173")</f>
        <v>STH 173</v>
      </c>
      <c r="I121" s="2" t="str">
        <f>CLEAN("303")</f>
        <v>303</v>
      </c>
    </row>
    <row r="122" spans="1:9" x14ac:dyDescent="0.35">
      <c r="A122" s="2" t="str">
        <f>CLEAN("MILWAUKEE")</f>
        <v>MILWAUKEE</v>
      </c>
      <c r="B122" s="2" t="str">
        <f t="shared" ref="B122:B155" si="19">CLEAN("CANADIAN PACIFIC RAILWAY")</f>
        <v>CANADIAN PACIFIC RAILWAY</v>
      </c>
      <c r="C122" s="2" t="s">
        <v>2513</v>
      </c>
      <c r="D122" s="2" t="str">
        <f>CLEAN("1000-57-50")</f>
        <v>1000-57-50</v>
      </c>
      <c r="E122" s="3" t="str">
        <f>CLEAN("MILWAUKEE AIRPORT 2ND PLATFORM")</f>
        <v>MILWAUKEE AIRPORT 2ND PLATFORM</v>
      </c>
      <c r="F122" s="3" t="str">
        <f>CLEAN("RR CROSSING 393023R TO 1200FT SOUTH")</f>
        <v>RR CROSSING 393023R TO 1200FT SOUTH</v>
      </c>
      <c r="G122" s="3" t="str">
        <f>CLEAN("EX- RR/RR CROSSING IMPROVEMENT")</f>
        <v>EX- RR/RR CROSSING IMPROVEMENT</v>
      </c>
      <c r="H122" s="2" t="str">
        <f>CLEAN("NON HWY")</f>
        <v>NON HWY</v>
      </c>
      <c r="I122" s="2" t="str">
        <f>CLEAN("207")</f>
        <v>207</v>
      </c>
    </row>
    <row r="123" spans="1:9" x14ac:dyDescent="0.35">
      <c r="A123" s="2" t="str">
        <f>CLEAN("DOUGLAS")</f>
        <v>DOUGLAS</v>
      </c>
      <c r="B123" s="2" t="str">
        <f t="shared" si="19"/>
        <v>CANADIAN PACIFIC RAILWAY</v>
      </c>
      <c r="C123" s="2" t="s">
        <v>3202</v>
      </c>
      <c r="D123" s="2" t="str">
        <f>CLEAN("1199-00-54")</f>
        <v>1199-00-54</v>
      </c>
      <c r="E123" s="3" t="str">
        <f>CLEAN("SUPERIOR - DULUTH")</f>
        <v>SUPERIOR - DULUTH</v>
      </c>
      <c r="F123" s="3" t="str">
        <f>CLEAN("OGDEN AVE  CP RR XING 691665B")</f>
        <v>OGDEN AVE  CP RR XING 691665B</v>
      </c>
      <c r="G123" s="3" t="str">
        <f>CLEAN("RR OPS- SURFACE/SIDEWALK/1199-00-77")</f>
        <v>RR OPS- SURFACE/SIDEWALK/1199-00-77</v>
      </c>
      <c r="H123" s="2" t="str">
        <f>CLEAN("LOC STR")</f>
        <v>LOC STR</v>
      </c>
      <c r="I123" s="2" t="str">
        <f>CLEAN("304")</f>
        <v>304</v>
      </c>
    </row>
    <row r="124" spans="1:9" x14ac:dyDescent="0.35">
      <c r="A124" s="2" t="str">
        <f>CLEAN("DOUGLAS")</f>
        <v>DOUGLAS</v>
      </c>
      <c r="B124" s="2" t="str">
        <f t="shared" si="19"/>
        <v>CANADIAN PACIFIC RAILWAY</v>
      </c>
      <c r="C124" s="2" t="s">
        <v>3199</v>
      </c>
      <c r="D124" s="2" t="str">
        <f>CLEAN("1199-00-55")</f>
        <v>1199-00-55</v>
      </c>
      <c r="E124" s="3" t="str">
        <f>CLEAN("SUPERIOR - DULUTH")</f>
        <v>SUPERIOR - DULUTH</v>
      </c>
      <c r="F124" s="3" t="str">
        <f>CLEAN("GRAND AVE  CP RR XING 691660S")</f>
        <v>GRAND AVE  CP RR XING 691660S</v>
      </c>
      <c r="G124" s="3" t="str">
        <f>CLEAN("RR OPS- SURFACE/1199-00-77")</f>
        <v>RR OPS- SURFACE/1199-00-77</v>
      </c>
      <c r="H124" s="2" t="str">
        <f>CLEAN("LOC STR")</f>
        <v>LOC STR</v>
      </c>
      <c r="I124" s="2" t="str">
        <f>CLEAN("304")</f>
        <v>304</v>
      </c>
    </row>
    <row r="125" spans="1:9" x14ac:dyDescent="0.35">
      <c r="A125" s="2" t="str">
        <f>CLEAN("DOUGLAS")</f>
        <v>DOUGLAS</v>
      </c>
      <c r="B125" s="2" t="str">
        <f t="shared" si="19"/>
        <v>CANADIAN PACIFIC RAILWAY</v>
      </c>
      <c r="C125" s="2" t="s">
        <v>3201</v>
      </c>
      <c r="D125" s="2" t="str">
        <f>CLEAN("1199-00-56")</f>
        <v>1199-00-56</v>
      </c>
      <c r="E125" s="3" t="str">
        <f>CLEAN("SUPERIOR - DULUTH")</f>
        <v>SUPERIOR - DULUTH</v>
      </c>
      <c r="F125" s="3" t="str">
        <f>CLEAN("WINTER ST  CP RR XING 691656C")</f>
        <v>WINTER ST  CP RR XING 691656C</v>
      </c>
      <c r="G125" s="3" t="str">
        <f>CLEAN("RR OPS- SURFACE/1199-00-77")</f>
        <v>RR OPS- SURFACE/1199-00-77</v>
      </c>
      <c r="H125" s="2" t="str">
        <f>CLEAN("LOC STR")</f>
        <v>LOC STR</v>
      </c>
      <c r="I125" s="2" t="str">
        <f>CLEAN("304")</f>
        <v>304</v>
      </c>
    </row>
    <row r="126" spans="1:9" x14ac:dyDescent="0.35">
      <c r="A126" s="2" t="str">
        <f>CLEAN("DOUGLAS")</f>
        <v>DOUGLAS</v>
      </c>
      <c r="B126" s="2" t="str">
        <f t="shared" si="19"/>
        <v>CANADIAN PACIFIC RAILWAY</v>
      </c>
      <c r="C126" s="2" t="s">
        <v>3198</v>
      </c>
      <c r="D126" s="2" t="str">
        <f>CLEAN("1199-01-50")</f>
        <v>1199-01-50</v>
      </c>
      <c r="E126" s="3" t="str">
        <f>CLEAN("SUPERIOR - DULUTH")</f>
        <v>SUPERIOR - DULUTH</v>
      </c>
      <c r="F126" s="3" t="str">
        <f>CLEAN("CATLIN AVE  CP RR XING 691657J")</f>
        <v>CATLIN AVE  CP RR XING 691657J</v>
      </c>
      <c r="G126" s="3" t="str">
        <f>CLEAN("RR OPS- SURFACE/1199-00-77")</f>
        <v>RR OPS- SURFACE/1199-00-77</v>
      </c>
      <c r="H126" s="2" t="str">
        <f>CLEAN("LOC STR")</f>
        <v>LOC STR</v>
      </c>
      <c r="I126" s="2" t="str">
        <f>CLEAN("304")</f>
        <v>304</v>
      </c>
    </row>
    <row r="127" spans="1:9" x14ac:dyDescent="0.35">
      <c r="A127" s="2" t="str">
        <f>CLEAN("DOUGLAS")</f>
        <v>DOUGLAS</v>
      </c>
      <c r="B127" s="2" t="str">
        <f t="shared" si="19"/>
        <v>CANADIAN PACIFIC RAILWAY</v>
      </c>
      <c r="C127" s="2" t="s">
        <v>3195</v>
      </c>
      <c r="D127" s="2" t="str">
        <f>CLEAN("1199-01-52")</f>
        <v>1199-01-52</v>
      </c>
      <c r="E127" s="3" t="str">
        <f>CLEAN("SUPERIOR - DULUTH")</f>
        <v>SUPERIOR - DULUTH</v>
      </c>
      <c r="F127" s="3" t="str">
        <f>CLEAN("BELKNAP STREET  CP RR XING 691654N")</f>
        <v>BELKNAP STREET  CP RR XING 691654N</v>
      </c>
      <c r="G127" s="3" t="str">
        <f>CLEAN("RR OPS- SURFACE/1199-00-77")</f>
        <v>RR OPS- SURFACE/1199-00-77</v>
      </c>
      <c r="H127" s="2" t="str">
        <f>CLEAN("USH 002")</f>
        <v>USH 002</v>
      </c>
      <c r="I127" s="2" t="str">
        <f>CLEAN("304")</f>
        <v>304</v>
      </c>
    </row>
    <row r="128" spans="1:9" x14ac:dyDescent="0.35">
      <c r="A128" s="2" t="str">
        <f>CLEAN("RACINE")</f>
        <v>RACINE</v>
      </c>
      <c r="B128" s="2" t="str">
        <f t="shared" si="19"/>
        <v>CANADIAN PACIFIC RAILWAY</v>
      </c>
      <c r="C128" s="2" t="s">
        <v>3297</v>
      </c>
      <c r="D128" s="2" t="str">
        <f>CLEAN("1320-28-50")</f>
        <v>1320-28-50</v>
      </c>
      <c r="E128" s="3" t="str">
        <f>CLEAN("BURLINGTON-RACINE")</f>
        <v>BURLINGTON-RACINE</v>
      </c>
      <c r="F128" s="3" t="str">
        <f>CLEAN("SOO LINE RR XING 388003U")</f>
        <v>SOO LINE RR XING 388003U</v>
      </c>
      <c r="G128" s="3" t="str">
        <f>CLEAN("RR/NEW CROSSING SURFACE")</f>
        <v>RR/NEW CROSSING SURFACE</v>
      </c>
      <c r="H128" s="2" t="str">
        <f>CLEAN("STH 011")</f>
        <v>STH 011</v>
      </c>
      <c r="I128" s="2" t="str">
        <f>CLEAN("207")</f>
        <v>207</v>
      </c>
    </row>
    <row r="129" spans="1:9" x14ac:dyDescent="0.35">
      <c r="A129" s="2" t="str">
        <f>CLEAN("ROCK")</f>
        <v>ROCK</v>
      </c>
      <c r="B129" s="2" t="str">
        <f t="shared" si="19"/>
        <v>CANADIAN PACIFIC RAILWAY</v>
      </c>
      <c r="C129" s="2" t="s">
        <v>3216</v>
      </c>
      <c r="D129" s="2" t="str">
        <f>CLEAN("1706-01-50")</f>
        <v>1706-01-50</v>
      </c>
      <c r="E129" s="3" t="str">
        <f>CLEAN("BRODHEAD - JANESVILLE")</f>
        <v>BRODHEAD - JANESVILLE</v>
      </c>
      <c r="F129" s="3" t="str">
        <f>CLEAN("CANADIAN PACIFIC RRR XING 694645A")</f>
        <v>CANADIAN PACIFIC RRR XING 694645A</v>
      </c>
      <c r="G129" s="3" t="str">
        <f>CLEAN("RR OPS/CROSSING REPAIR")</f>
        <v>RR OPS/CROSSING REPAIR</v>
      </c>
      <c r="H129" s="2" t="str">
        <f>CLEAN("STH 011")</f>
        <v>STH 011</v>
      </c>
      <c r="I129" s="2" t="str">
        <f>CLEAN("207")</f>
        <v>207</v>
      </c>
    </row>
    <row r="130" spans="1:9" x14ac:dyDescent="0.35">
      <c r="A130" s="2" t="str">
        <f>CLEAN("MILWAUKEE")</f>
        <v>MILWAUKEE</v>
      </c>
      <c r="B130" s="2" t="str">
        <f t="shared" si="19"/>
        <v>CANADIAN PACIFIC RAILWAY</v>
      </c>
      <c r="C130" s="2" t="s">
        <v>3322</v>
      </c>
      <c r="D130" s="2" t="str">
        <f>CLEAN("2410-10-50")</f>
        <v>2410-10-50</v>
      </c>
      <c r="E130" s="3" t="str">
        <f>CLEAN("C MILWAUKEE  W NATIONAL AVE")</f>
        <v>C MILWAUKEE  W NATIONAL AVE</v>
      </c>
      <c r="F130" s="3" t="str">
        <f>CLEAN("39TH ST TO 27TH ST")</f>
        <v>39TH ST TO 27TH ST</v>
      </c>
      <c r="G130" s="3" t="str">
        <f>CLEAN("RR/XING SURFACE/CPKC  DOT 177221T")</f>
        <v>RR/XING SURFACE/CPKC  DOT 177221T</v>
      </c>
      <c r="H130" s="2" t="str">
        <f>CLEAN("STH 059")</f>
        <v>STH 059</v>
      </c>
      <c r="I130" s="2" t="str">
        <f>CLEAN("303")</f>
        <v>303</v>
      </c>
    </row>
    <row r="131" spans="1:9" x14ac:dyDescent="0.35">
      <c r="A131" s="2" t="str">
        <f>CLEAN("RACINE")</f>
        <v>RACINE</v>
      </c>
      <c r="B131" s="2" t="str">
        <f t="shared" si="19"/>
        <v>CANADIAN PACIFIC RAILWAY</v>
      </c>
      <c r="C131" s="2" t="s">
        <v>3294</v>
      </c>
      <c r="D131" s="2" t="str">
        <f>CLEAN("2704-09-52")</f>
        <v>2704-09-52</v>
      </c>
      <c r="E131" s="3" t="str">
        <f>CLEAN("BRAUN ROAD")</f>
        <v>BRAUN ROAD</v>
      </c>
      <c r="F131" s="3" t="str">
        <f>CLEAN("CTH H TO 90TH STREET")</f>
        <v>CTH H TO 90TH STREET</v>
      </c>
      <c r="G131" s="3" t="str">
        <f>CLEAN("RR/INSTALL NEW RR CROSSING SURFACE")</f>
        <v>RR/INSTALL NEW RR CROSSING SURFACE</v>
      </c>
      <c r="H131" s="2" t="str">
        <f>CLEAN("LOC STR")</f>
        <v>LOC STR</v>
      </c>
      <c r="I131" s="2" t="str">
        <f>CLEAN("303")</f>
        <v>303</v>
      </c>
    </row>
    <row r="132" spans="1:9" x14ac:dyDescent="0.35">
      <c r="A132" s="2" t="str">
        <f>CLEAN("WAUKESHA")</f>
        <v>WAUKESHA</v>
      </c>
      <c r="B132" s="2" t="str">
        <f t="shared" si="19"/>
        <v>CANADIAN PACIFIC RAILWAY</v>
      </c>
      <c r="C132" s="2" t="s">
        <v>3300</v>
      </c>
      <c r="D132" s="2" t="str">
        <f>CLEAN("2721-05-51")</f>
        <v>2721-05-51</v>
      </c>
      <c r="E132" s="3" t="str">
        <f>CLEAN("C OF BROOKFIELD  BROOKFIELD RD")</f>
        <v>C OF BROOKFIELD  BROOKFIELD RD</v>
      </c>
      <c r="F132" s="3" t="str">
        <f>CLEAN("SOO XING 390521P")</f>
        <v>SOO XING 390521P</v>
      </c>
      <c r="G132" s="3" t="str">
        <f>CLEAN("RR/OPS/WARNING DEVICE UPDATE/MISC")</f>
        <v>RR/OPS/WARNING DEVICE UPDATE/MISC</v>
      </c>
      <c r="H132" s="2" t="str">
        <f>CLEAN("LOC STR")</f>
        <v>LOC STR</v>
      </c>
      <c r="I132" s="2" t="str">
        <f>CLEAN("207")</f>
        <v>207</v>
      </c>
    </row>
    <row r="133" spans="1:9" x14ac:dyDescent="0.35">
      <c r="A133" s="2" t="str">
        <f>CLEAN("WAUKESHA")</f>
        <v>WAUKESHA</v>
      </c>
      <c r="B133" s="2" t="str">
        <f t="shared" si="19"/>
        <v>CANADIAN PACIFIC RAILWAY</v>
      </c>
      <c r="C133" s="2" t="s">
        <v>3301</v>
      </c>
      <c r="D133" s="2" t="str">
        <f>CLEAN("2721-05-52")</f>
        <v>2721-05-52</v>
      </c>
      <c r="E133" s="3" t="str">
        <f>CLEAN("C OF BROOKFIELD  BARKER RD")</f>
        <v>C OF BROOKFIELD  BARKER RD</v>
      </c>
      <c r="F133" s="3" t="str">
        <f>CLEAN("SOO XING 390522W")</f>
        <v>SOO XING 390522W</v>
      </c>
      <c r="G133" s="3" t="str">
        <f>CLEAN("RR/OPS/WARNING DEVICE UPDATE/MISC")</f>
        <v>RR/OPS/WARNING DEVICE UPDATE/MISC</v>
      </c>
      <c r="H133" s="2" t="str">
        <f>CLEAN("LOC STR")</f>
        <v>LOC STR</v>
      </c>
      <c r="I133" s="2" t="str">
        <f>CLEAN("207")</f>
        <v>207</v>
      </c>
    </row>
    <row r="134" spans="1:9" x14ac:dyDescent="0.35">
      <c r="A134" s="2" t="str">
        <f>CLEAN("COLUMBIA")</f>
        <v>COLUMBIA</v>
      </c>
      <c r="B134" s="2" t="str">
        <f t="shared" si="19"/>
        <v>CANADIAN PACIFIC RAILWAY</v>
      </c>
      <c r="C134" s="2" t="s">
        <v>3121</v>
      </c>
      <c r="D134" s="2" t="str">
        <f>CLEAN("3060-00-51")</f>
        <v>3060-00-51</v>
      </c>
      <c r="E134" s="3" t="str">
        <f>CLEAN("C COLUMBUS  LUDINGTON STREET")</f>
        <v>C COLUMBUS  LUDINGTON STREET</v>
      </c>
      <c r="F134" s="3" t="str">
        <f>CLEAN("FAITH DRIVE TO MIDDLETON STREET")</f>
        <v>FAITH DRIVE TO MIDDLETON STREET</v>
      </c>
      <c r="G134" s="3" t="str">
        <f>CLEAN("R/R SURFACE-SOO LINE/RSRF30")</f>
        <v>R/R SURFACE-SOO LINE/RSRF30</v>
      </c>
      <c r="H134" s="2" t="str">
        <f>CLEAN("STH 073")</f>
        <v>STH 073</v>
      </c>
      <c r="I134" s="2" t="str">
        <f>CLEAN("303")</f>
        <v>303</v>
      </c>
    </row>
    <row r="135" spans="1:9" x14ac:dyDescent="0.35">
      <c r="A135" s="2" t="str">
        <f>CLEAN("KENOSHA")</f>
        <v>KENOSHA</v>
      </c>
      <c r="B135" s="2" t="str">
        <f t="shared" si="19"/>
        <v>CANADIAN PACIFIC RAILWAY</v>
      </c>
      <c r="C135" s="2" t="s">
        <v>3223</v>
      </c>
      <c r="D135" s="2" t="str">
        <f>CLEAN("3732-09-52")</f>
        <v>3732-09-52</v>
      </c>
      <c r="E135" s="3" t="str">
        <f>CLEAN("CTH K")</f>
        <v>CTH K</v>
      </c>
      <c r="F135" s="3" t="str">
        <f>CLEAN("SOO LINE (CP) RR XING 388028P")</f>
        <v>SOO LINE (CP) RR XING 388028P</v>
      </c>
      <c r="G135" s="3" t="str">
        <f>CLEAN("RR OPS/CROSSING SURFACE")</f>
        <v>RR OPS/CROSSING SURFACE</v>
      </c>
      <c r="H135" s="2" t="str">
        <f>CLEAN("CTH K")</f>
        <v>CTH K</v>
      </c>
      <c r="I135" s="2" t="str">
        <f>CLEAN("206")</f>
        <v>206</v>
      </c>
    </row>
    <row r="136" spans="1:9" x14ac:dyDescent="0.35">
      <c r="A136" s="2" t="str">
        <f>CLEAN("RACINE")</f>
        <v>RACINE</v>
      </c>
      <c r="B136" s="2" t="str">
        <f t="shared" si="19"/>
        <v>CANADIAN PACIFIC RAILWAY</v>
      </c>
      <c r="C136" s="2" t="s">
        <v>3290</v>
      </c>
      <c r="D136" s="2" t="str">
        <f>CLEAN("3760-00-50")</f>
        <v>3760-00-50</v>
      </c>
      <c r="E136" s="3" t="str">
        <f>CLEAN("CTH H  V STURTEVANT/MT PLEASANT")</f>
        <v>CTH H  V STURTEVANT/MT PLEASANT</v>
      </c>
      <c r="F136" s="3" t="str">
        <f>CLEAN("CANADIAN PACIFIC XING NO. 388 086K")</f>
        <v>CANADIAN PACIFIC XING NO. 388 086K</v>
      </c>
      <c r="G136" s="3" t="str">
        <f>CLEAN("RR/CROSSING SURFACE")</f>
        <v>RR/CROSSING SURFACE</v>
      </c>
      <c r="H136" s="2" t="str">
        <f>CLEAN("CTH H")</f>
        <v>CTH H</v>
      </c>
      <c r="I136" s="2" t="str">
        <f>CLEAN("303")</f>
        <v>303</v>
      </c>
    </row>
    <row r="137" spans="1:9" x14ac:dyDescent="0.35">
      <c r="A137" s="2" t="str">
        <f>CLEAN("KENOSHA")</f>
        <v>KENOSHA</v>
      </c>
      <c r="B137" s="2" t="str">
        <f t="shared" si="19"/>
        <v>CANADIAN PACIFIC RAILWAY</v>
      </c>
      <c r="C137" s="2" t="s">
        <v>3324</v>
      </c>
      <c r="D137" s="2" t="str">
        <f>CLEAN("3830-05-50")</f>
        <v>3830-05-50</v>
      </c>
      <c r="E137" s="3" t="str">
        <f>CLEAN("95TH STREET SHARED USE PATH")</f>
        <v>95TH STREET SHARED USE PATH</v>
      </c>
      <c r="F137" s="3" t="str">
        <f>CLEAN("TERWALL TERRACE TO OLD GREEN BAY RD")</f>
        <v>TERWALL TERRACE TO OLD GREEN BAY RD</v>
      </c>
      <c r="G137" s="3" t="str">
        <f>CLEAN("RR/XING SURFACE/SOO LINE 388034T")</f>
        <v>RR/XING SURFACE/SOO LINE 388034T</v>
      </c>
      <c r="H137" s="2" t="str">
        <f>CLEAN("NON HWY")</f>
        <v>NON HWY</v>
      </c>
      <c r="I137" s="2" t="str">
        <f>CLEAN("290")</f>
        <v>290</v>
      </c>
    </row>
    <row r="138" spans="1:9" x14ac:dyDescent="0.35">
      <c r="A138" s="2" t="str">
        <f>CLEAN("JEFFERSON")</f>
        <v>JEFFERSON</v>
      </c>
      <c r="B138" s="2" t="str">
        <f t="shared" si="19"/>
        <v>CANADIAN PACIFIC RAILWAY</v>
      </c>
      <c r="C138" s="2" t="s">
        <v>3185</v>
      </c>
      <c r="D138" s="2" t="str">
        <f>CLEAN("3997-00-57")</f>
        <v>3997-00-57</v>
      </c>
      <c r="E138" s="3" t="str">
        <f>CLEAN("C WATERTOWN  TWELFTH STREET")</f>
        <v>C WATERTOWN  TWELFTH STREET</v>
      </c>
      <c r="F138" s="3" t="str">
        <f>CLEAN("SOO LINE RR XING 390586H")</f>
        <v>SOO LINE RR XING 390586H</v>
      </c>
      <c r="G138" s="3" t="str">
        <f>CLEAN("RR OP/REPLACE SIGNALS BUNGALOW/MISC")</f>
        <v>RR OP/REPLACE SIGNALS BUNGALOW/MISC</v>
      </c>
      <c r="H138" s="2" t="str">
        <f t="shared" ref="H138:H144" si="20">CLEAN("LOC STR")</f>
        <v>LOC STR</v>
      </c>
      <c r="I138" s="2" t="str">
        <f t="shared" ref="I138:I144" si="21">CLEAN("207")</f>
        <v>207</v>
      </c>
    </row>
    <row r="139" spans="1:9" x14ac:dyDescent="0.35">
      <c r="A139" s="2" t="str">
        <f t="shared" ref="A139:A144" si="22">CLEAN("LA CROSSE")</f>
        <v>LA CROSSE</v>
      </c>
      <c r="B139" s="2" t="str">
        <f t="shared" si="19"/>
        <v>CANADIAN PACIFIC RAILWAY</v>
      </c>
      <c r="C139" s="2" t="s">
        <v>3213</v>
      </c>
      <c r="D139" s="2" t="str">
        <f>CLEAN("5345-02-53")</f>
        <v>5345-02-53</v>
      </c>
      <c r="E139" s="3" t="str">
        <f>CLEAN("V BANGOR  10TH AVENUE")</f>
        <v>V BANGOR  10TH AVENUE</v>
      </c>
      <c r="F139" s="3" t="str">
        <f>CLEAN("SOO LINE RR XING 390903K")</f>
        <v>SOO LINE RR XING 390903K</v>
      </c>
      <c r="G139" s="3" t="str">
        <f>CLEAN("RR OPS/CIRCUITRY UPGRADES/MISC")</f>
        <v>RR OPS/CIRCUITRY UPGRADES/MISC</v>
      </c>
      <c r="H139" s="2" t="str">
        <f t="shared" si="20"/>
        <v>LOC STR</v>
      </c>
      <c r="I139" s="2" t="str">
        <f t="shared" si="21"/>
        <v>207</v>
      </c>
    </row>
    <row r="140" spans="1:9" x14ac:dyDescent="0.35">
      <c r="A140" s="2" t="str">
        <f t="shared" si="22"/>
        <v>LA CROSSE</v>
      </c>
      <c r="B140" s="2" t="str">
        <f t="shared" si="19"/>
        <v>CANADIAN PACIFIC RAILWAY</v>
      </c>
      <c r="C140" s="2" t="s">
        <v>3186</v>
      </c>
      <c r="D140" s="2" t="str">
        <f>CLEAN("5345-02-54")</f>
        <v>5345-02-54</v>
      </c>
      <c r="E140" s="3" t="str">
        <f>CLEAN("V BANGOR  15TH AVENUE")</f>
        <v>V BANGOR  15TH AVENUE</v>
      </c>
      <c r="F140" s="3" t="str">
        <f>CLEAN("SOO LINE RR XING 390904S")</f>
        <v>SOO LINE RR XING 390904S</v>
      </c>
      <c r="G140" s="3" t="str">
        <f>CLEAN("RR OP/REPLACE SIGNALS BUNGALOW/MISC")</f>
        <v>RR OP/REPLACE SIGNALS BUNGALOW/MISC</v>
      </c>
      <c r="H140" s="2" t="str">
        <f t="shared" si="20"/>
        <v>LOC STR</v>
      </c>
      <c r="I140" s="2" t="str">
        <f t="shared" si="21"/>
        <v>207</v>
      </c>
    </row>
    <row r="141" spans="1:9" x14ac:dyDescent="0.35">
      <c r="A141" s="2" t="str">
        <f t="shared" si="22"/>
        <v>LA CROSSE</v>
      </c>
      <c r="B141" s="2" t="str">
        <f t="shared" si="19"/>
        <v>CANADIAN PACIFIC RAILWAY</v>
      </c>
      <c r="C141" s="2" t="s">
        <v>3187</v>
      </c>
      <c r="D141" s="2" t="str">
        <f>CLEAN("5345-02-55")</f>
        <v>5345-02-55</v>
      </c>
      <c r="E141" s="3" t="str">
        <f>CLEAN("V BANGOR  16TH AVENUE")</f>
        <v>V BANGOR  16TH AVENUE</v>
      </c>
      <c r="F141" s="3" t="str">
        <f>CLEAN("SOO LINE RR XING 390905Y")</f>
        <v>SOO LINE RR XING 390905Y</v>
      </c>
      <c r="G141" s="3" t="str">
        <f>CLEAN("RR OP/REPLACE SIGNALS BUNGALOW/MISC")</f>
        <v>RR OP/REPLACE SIGNALS BUNGALOW/MISC</v>
      </c>
      <c r="H141" s="2" t="str">
        <f t="shared" si="20"/>
        <v>LOC STR</v>
      </c>
      <c r="I141" s="2" t="str">
        <f t="shared" si="21"/>
        <v>207</v>
      </c>
    </row>
    <row r="142" spans="1:9" x14ac:dyDescent="0.35">
      <c r="A142" s="2" t="str">
        <f t="shared" si="22"/>
        <v>LA CROSSE</v>
      </c>
      <c r="B142" s="2" t="str">
        <f t="shared" si="19"/>
        <v>CANADIAN PACIFIC RAILWAY</v>
      </c>
      <c r="C142" s="2" t="s">
        <v>3188</v>
      </c>
      <c r="D142" s="2" t="str">
        <f>CLEAN("5345-02-56")</f>
        <v>5345-02-56</v>
      </c>
      <c r="E142" s="3" t="str">
        <f>CLEAN("V BANGOR  18TH AVENUE")</f>
        <v>V BANGOR  18TH AVENUE</v>
      </c>
      <c r="F142" s="3" t="str">
        <f>CLEAN("SOO LINE RR XING 390906F")</f>
        <v>SOO LINE RR XING 390906F</v>
      </c>
      <c r="G142" s="3" t="str">
        <f>CLEAN("RR OP/REPLACE SIGNALS BUNGALOW/MISC")</f>
        <v>RR OP/REPLACE SIGNALS BUNGALOW/MISC</v>
      </c>
      <c r="H142" s="2" t="str">
        <f t="shared" si="20"/>
        <v>LOC STR</v>
      </c>
      <c r="I142" s="2" t="str">
        <f t="shared" si="21"/>
        <v>207</v>
      </c>
    </row>
    <row r="143" spans="1:9" x14ac:dyDescent="0.35">
      <c r="A143" s="2" t="str">
        <f t="shared" si="22"/>
        <v>LA CROSSE</v>
      </c>
      <c r="B143" s="2" t="str">
        <f t="shared" si="19"/>
        <v>CANADIAN PACIFIC RAILWAY</v>
      </c>
      <c r="C143" s="2" t="s">
        <v>3189</v>
      </c>
      <c r="D143" s="2" t="str">
        <f>CLEAN("5345-02-57")</f>
        <v>5345-02-57</v>
      </c>
      <c r="E143" s="3" t="str">
        <f>CLEAN("V BANGOR  19TH AVENUE")</f>
        <v>V BANGOR  19TH AVENUE</v>
      </c>
      <c r="F143" s="3" t="str">
        <f>CLEAN("SOO LINE RR XING 390907M")</f>
        <v>SOO LINE RR XING 390907M</v>
      </c>
      <c r="G143" s="3" t="str">
        <f>CLEAN("RR OP/REPLACE SIGNALS BUNGALOW/MISC")</f>
        <v>RR OP/REPLACE SIGNALS BUNGALOW/MISC</v>
      </c>
      <c r="H143" s="2" t="str">
        <f t="shared" si="20"/>
        <v>LOC STR</v>
      </c>
      <c r="I143" s="2" t="str">
        <f t="shared" si="21"/>
        <v>207</v>
      </c>
    </row>
    <row r="144" spans="1:9" x14ac:dyDescent="0.35">
      <c r="A144" s="2" t="str">
        <f t="shared" si="22"/>
        <v>LA CROSSE</v>
      </c>
      <c r="B144" s="2" t="str">
        <f t="shared" si="19"/>
        <v>CANADIAN PACIFIC RAILWAY</v>
      </c>
      <c r="C144" s="2" t="s">
        <v>3193</v>
      </c>
      <c r="D144" s="2" t="str">
        <f>CLEAN("5349-02-51")</f>
        <v>5349-02-51</v>
      </c>
      <c r="E144" s="3" t="str">
        <f>CLEAN("T HAMILTON  LINSE ROAD")</f>
        <v>T HAMILTON  LINSE ROAD</v>
      </c>
      <c r="F144" s="3" t="str">
        <f>CLEAN("SOO LINE RR XING 393914X")</f>
        <v>SOO LINE RR XING 393914X</v>
      </c>
      <c r="G144" s="3" t="str">
        <f>CLEAN("RR OP/REPLACE SIGNALS BUNGALOW/MISC")</f>
        <v>RR OP/REPLACE SIGNALS BUNGALOW/MISC</v>
      </c>
      <c r="H144" s="2" t="str">
        <f t="shared" si="20"/>
        <v>LOC STR</v>
      </c>
      <c r="I144" s="2" t="str">
        <f t="shared" si="21"/>
        <v>207</v>
      </c>
    </row>
    <row r="145" spans="1:9" x14ac:dyDescent="0.35">
      <c r="A145" s="2" t="str">
        <f>CLEAN("JUNEAU")</f>
        <v>JUNEAU</v>
      </c>
      <c r="B145" s="2" t="str">
        <f t="shared" si="19"/>
        <v>CANADIAN PACIFIC RAILWAY</v>
      </c>
      <c r="C145" s="2" t="s">
        <v>3110</v>
      </c>
      <c r="D145" s="2" t="str">
        <f>CLEAN("5530-03-51")</f>
        <v>5530-03-51</v>
      </c>
      <c r="E145" s="3" t="str">
        <f>CLEAN("HILLSBORO - NEW LISBON")</f>
        <v>HILLSBORO - NEW LISBON</v>
      </c>
      <c r="F145" s="3" t="str">
        <f>CLEAN("SOUTH CITY LIMIT TO USH 12")</f>
        <v>SOUTH CITY LIMIT TO USH 12</v>
      </c>
      <c r="G145" s="3" t="str">
        <f>CLEAN("R/R OPS//UPGRADE CROSSING")</f>
        <v>R/R OPS//UPGRADE CROSSING</v>
      </c>
      <c r="H145" s="2" t="str">
        <f>CLEAN("STH 080")</f>
        <v>STH 080</v>
      </c>
      <c r="I145" s="2" t="str">
        <f>CLEAN("303")</f>
        <v>303</v>
      </c>
    </row>
    <row r="146" spans="1:9" x14ac:dyDescent="0.35">
      <c r="A146" s="2" t="str">
        <f>CLEAN("ROCK")</f>
        <v>ROCK</v>
      </c>
      <c r="B146" s="2" t="str">
        <f t="shared" si="19"/>
        <v>CANADIAN PACIFIC RAILWAY</v>
      </c>
      <c r="C146" s="2" t="s">
        <v>3288</v>
      </c>
      <c r="D146" s="2" t="str">
        <f>CLEAN("5570-01-53")</f>
        <v>5570-01-53</v>
      </c>
      <c r="E146" s="3" t="str">
        <f>CLEAN("C BELOIT  STATE STREET")</f>
        <v>C BELOIT  STATE STREET</v>
      </c>
      <c r="F146" s="3" t="str">
        <f>CLEAN("CANADIAN PACIFIC RR XING 388198J")</f>
        <v>CANADIAN PACIFIC RR XING 388198J</v>
      </c>
      <c r="G146" s="3" t="str">
        <f>CLEAN("RR/CROSSING REPAIR/RESURFACE/MISC")</f>
        <v>RR/CROSSING REPAIR/RESURFACE/MISC</v>
      </c>
      <c r="H146" s="2" t="str">
        <f>CLEAN("STH 213")</f>
        <v>STH 213</v>
      </c>
      <c r="I146" s="2" t="str">
        <f>CLEAN("303")</f>
        <v>303</v>
      </c>
    </row>
    <row r="147" spans="1:9" x14ac:dyDescent="0.35">
      <c r="A147" s="2" t="str">
        <f>CLEAN("ROCK")</f>
        <v>ROCK</v>
      </c>
      <c r="B147" s="2" t="str">
        <f t="shared" si="19"/>
        <v>CANADIAN PACIFIC RAILWAY</v>
      </c>
      <c r="C147" s="2" t="s">
        <v>3184</v>
      </c>
      <c r="D147" s="2" t="str">
        <f>CLEAN("5989-05-51")</f>
        <v>5989-05-51</v>
      </c>
      <c r="E147" s="3" t="str">
        <f>CLEAN("C BELOIT  PARK AVENUE")</f>
        <v>C BELOIT  PARK AVENUE</v>
      </c>
      <c r="F147" s="3" t="str">
        <f>CLEAN("DME RR XING 388200H")</f>
        <v>DME RR XING 388200H</v>
      </c>
      <c r="G147" s="3" t="str">
        <f>CLEAN("RR OP/REPLACE SIGNALS BUNGALOW/MISC")</f>
        <v>RR OP/REPLACE SIGNALS BUNGALOW/MISC</v>
      </c>
      <c r="H147" s="2" t="str">
        <f>CLEAN("LOC STR")</f>
        <v>LOC STR</v>
      </c>
      <c r="I147" s="2" t="str">
        <f>CLEAN("207")</f>
        <v>207</v>
      </c>
    </row>
    <row r="148" spans="1:9" x14ac:dyDescent="0.35">
      <c r="A148" s="2" t="str">
        <f>CLEAN("LA CROSSE")</f>
        <v>LA CROSSE</v>
      </c>
      <c r="B148" s="2" t="str">
        <f t="shared" si="19"/>
        <v>CANADIAN PACIFIC RAILWAY</v>
      </c>
      <c r="C148" s="2" t="s">
        <v>3192</v>
      </c>
      <c r="D148" s="2" t="str">
        <f>CLEAN("5991-00-50")</f>
        <v>5991-00-50</v>
      </c>
      <c r="E148" s="3" t="str">
        <f>CLEAN("V WEST SALEM  CTH B/OAK AVENUE")</f>
        <v>V WEST SALEM  CTH B/OAK AVENUE</v>
      </c>
      <c r="F148" s="3" t="str">
        <f>CLEAN("SOO LINE RR XING 390921H")</f>
        <v>SOO LINE RR XING 390921H</v>
      </c>
      <c r="G148" s="3" t="str">
        <f>CLEAN("RR OP/REPLACE SIGNALS BUNGALOW/MISC")</f>
        <v>RR OP/REPLACE SIGNALS BUNGALOW/MISC</v>
      </c>
      <c r="H148" s="2" t="str">
        <f>CLEAN("CTH B")</f>
        <v>CTH B</v>
      </c>
      <c r="I148" s="2" t="str">
        <f>CLEAN("207")</f>
        <v>207</v>
      </c>
    </row>
    <row r="149" spans="1:9" x14ac:dyDescent="0.35">
      <c r="A149" s="2" t="str">
        <f>CLEAN("LA CROSSE")</f>
        <v>LA CROSSE</v>
      </c>
      <c r="B149" s="2" t="str">
        <f t="shared" si="19"/>
        <v>CANADIAN PACIFIC RAILWAY</v>
      </c>
      <c r="C149" s="2" t="s">
        <v>3191</v>
      </c>
      <c r="D149" s="2" t="str">
        <f>CLEAN("5991-00-51")</f>
        <v>5991-00-51</v>
      </c>
      <c r="E149" s="3" t="str">
        <f>CLEAN("V WEST SALEM  LEONARD STREET")</f>
        <v>V WEST SALEM  LEONARD STREET</v>
      </c>
      <c r="F149" s="3" t="str">
        <f>CLEAN("SOO LINE RR XING 390920B")</f>
        <v>SOO LINE RR XING 390920B</v>
      </c>
      <c r="G149" s="3" t="str">
        <f>CLEAN("RR OP/REPLACE SIGNALS BUNGALOW/MISC")</f>
        <v>RR OP/REPLACE SIGNALS BUNGALOW/MISC</v>
      </c>
      <c r="H149" s="2" t="str">
        <f>CLEAN("LOC STR")</f>
        <v>LOC STR</v>
      </c>
      <c r="I149" s="2" t="str">
        <f>CLEAN("207")</f>
        <v>207</v>
      </c>
    </row>
    <row r="150" spans="1:9" x14ac:dyDescent="0.35">
      <c r="A150" s="2" t="str">
        <f>CLEAN("LA CROSSE")</f>
        <v>LA CROSSE</v>
      </c>
      <c r="B150" s="2" t="str">
        <f t="shared" si="19"/>
        <v>CANADIAN PACIFIC RAILWAY</v>
      </c>
      <c r="C150" s="2" t="s">
        <v>3190</v>
      </c>
      <c r="D150" s="2" t="str">
        <f>CLEAN("5991-00-52")</f>
        <v>5991-00-52</v>
      </c>
      <c r="E150" s="3" t="str">
        <f>CLEAN("V WEST SALEM  MILL STREET")</f>
        <v>V WEST SALEM  MILL STREET</v>
      </c>
      <c r="F150" s="3" t="str">
        <f>CLEAN("SOO LINE RR XING 390917T")</f>
        <v>SOO LINE RR XING 390917T</v>
      </c>
      <c r="G150" s="3" t="str">
        <f>CLEAN("RR OP/REPLACE SIGNALS BUNGALOW/MISC")</f>
        <v>RR OP/REPLACE SIGNALS BUNGALOW/MISC</v>
      </c>
      <c r="H150" s="2" t="str">
        <f>CLEAN("LOC STR")</f>
        <v>LOC STR</v>
      </c>
      <c r="I150" s="2" t="str">
        <f>CLEAN("207")</f>
        <v>207</v>
      </c>
    </row>
    <row r="151" spans="1:9" x14ac:dyDescent="0.35">
      <c r="A151" s="2" t="str">
        <f>CLEAN("COLUMBIA")</f>
        <v>COLUMBIA</v>
      </c>
      <c r="B151" s="2" t="str">
        <f t="shared" si="19"/>
        <v>CANADIAN PACIFIC RAILWAY</v>
      </c>
      <c r="C151" s="2" t="s">
        <v>3095</v>
      </c>
      <c r="D151" s="2" t="str">
        <f>CLEAN("6020-04-50")</f>
        <v>6020-04-50</v>
      </c>
      <c r="E151" s="3" t="str">
        <f>CLEAN("DEFOREST - PORTAGE")</f>
        <v>DEFOREST - PORTAGE</v>
      </c>
      <c r="F151" s="3" t="str">
        <f>CLEAN("TOMLINSON ROAD TO ONTARIO STREET")</f>
        <v>TOMLINSON ROAD TO ONTARIO STREET</v>
      </c>
      <c r="G151" s="3" t="str">
        <f>CLEAN("R/R OPS - REHAB GRADE CROSSING/RSRF")</f>
        <v>R/R OPS - REHAB GRADE CROSSING/RSRF</v>
      </c>
      <c r="H151" s="2" t="str">
        <f>CLEAN("USH 051")</f>
        <v>USH 051</v>
      </c>
      <c r="I151" s="2" t="str">
        <f>CLEAN("303")</f>
        <v>303</v>
      </c>
    </row>
    <row r="152" spans="1:9" x14ac:dyDescent="0.35">
      <c r="A152" s="2" t="str">
        <f>CLEAN("COLUMBIA")</f>
        <v>COLUMBIA</v>
      </c>
      <c r="B152" s="2" t="str">
        <f t="shared" si="19"/>
        <v>CANADIAN PACIFIC RAILWAY</v>
      </c>
      <c r="C152" s="2" t="s">
        <v>3096</v>
      </c>
      <c r="D152" s="2" t="str">
        <f>CLEAN("6020-04-51")</f>
        <v>6020-04-51</v>
      </c>
      <c r="E152" s="3" t="str">
        <f>CLEAN("DEFOREST - PORTAGE")</f>
        <v>DEFOREST - PORTAGE</v>
      </c>
      <c r="F152" s="3" t="str">
        <f>CLEAN("TOMLINSON ROAD TO ONTARIO STREET")</f>
        <v>TOMLINSON ROAD TO ONTARIO STREET</v>
      </c>
      <c r="G152" s="3" t="str">
        <f>CLEAN("R/R OPS - REHAB GRADE CROSSING/RSRF")</f>
        <v>R/R OPS - REHAB GRADE CROSSING/RSRF</v>
      </c>
      <c r="H152" s="2" t="str">
        <f>CLEAN("USH 051")</f>
        <v>USH 051</v>
      </c>
      <c r="I152" s="2" t="str">
        <f>CLEAN("303")</f>
        <v>303</v>
      </c>
    </row>
    <row r="153" spans="1:9" x14ac:dyDescent="0.35">
      <c r="A153" s="2" t="str">
        <f>CLEAN("COLUMBIA")</f>
        <v>COLUMBIA</v>
      </c>
      <c r="B153" s="2" t="str">
        <f t="shared" si="19"/>
        <v>CANADIAN PACIFIC RAILWAY</v>
      </c>
      <c r="C153" s="2" t="s">
        <v>3222</v>
      </c>
      <c r="D153" s="2" t="str">
        <f>CLEAN("6075-00-54")</f>
        <v>6075-00-54</v>
      </c>
      <c r="E153" s="3" t="str">
        <f>CLEAN("IH 39 - ARLINGTON")</f>
        <v>IH 39 - ARLINGTON</v>
      </c>
      <c r="F153" s="3" t="str">
        <f>CLEAN("BULLEN ROAD TO US 51")</f>
        <v>BULLEN ROAD TO US 51</v>
      </c>
      <c r="G153" s="3" t="str">
        <f>CLEAN("RR OPS/CROSSING SURFACE")</f>
        <v>RR OPS/CROSSING SURFACE</v>
      </c>
      <c r="H153" s="2" t="str">
        <f>CLEAN("STH 060")</f>
        <v>STH 060</v>
      </c>
      <c r="I153" s="2" t="str">
        <f>CLEAN("303")</f>
        <v>303</v>
      </c>
    </row>
    <row r="154" spans="1:9" x14ac:dyDescent="0.35">
      <c r="A154" s="2" t="str">
        <f>CLEAN("DANE")</f>
        <v>DANE</v>
      </c>
      <c r="B154" s="2" t="str">
        <f t="shared" si="19"/>
        <v>CANADIAN PACIFIC RAILWAY</v>
      </c>
      <c r="C154" s="2" t="s">
        <v>3215</v>
      </c>
      <c r="D154" s="2" t="str">
        <f>CLEAN("6085-00-56")</f>
        <v>6085-00-56</v>
      </c>
      <c r="E154" s="3" t="str">
        <f>CLEAN("MAZOMANIE - SUN PRAIRIE")</f>
        <v>MAZOMANIE - SUN PRAIRIE</v>
      </c>
      <c r="F154" s="3" t="str">
        <f>CLEAN("CANADIAN PACIFIC RR XING 392323B")</f>
        <v>CANADIAN PACIFIC RR XING 392323B</v>
      </c>
      <c r="G154" s="3" t="str">
        <f>CLEAN("RR OPS/CROSSING REPAIR")</f>
        <v>RR OPS/CROSSING REPAIR</v>
      </c>
      <c r="H154" s="2" t="str">
        <f>CLEAN("STH 019")</f>
        <v>STH 019</v>
      </c>
      <c r="I154" s="2" t="str">
        <f>CLEAN("207")</f>
        <v>207</v>
      </c>
    </row>
    <row r="155" spans="1:9" x14ac:dyDescent="0.35">
      <c r="A155" s="2" t="str">
        <f>CLEAN("LA CROSSE")</f>
        <v>LA CROSSE</v>
      </c>
      <c r="B155" s="2" t="str">
        <f t="shared" si="19"/>
        <v>CANADIAN PACIFIC RAILWAY</v>
      </c>
      <c r="C155" s="2" t="s">
        <v>3237</v>
      </c>
      <c r="D155" s="2" t="str">
        <f>CLEAN("7815-01-56")</f>
        <v>7815-01-56</v>
      </c>
      <c r="E155" s="3" t="str">
        <f>CLEAN("V BANGOR  STH 162")</f>
        <v>V BANGOR  STH 162</v>
      </c>
      <c r="F155" s="3" t="str">
        <f>CLEAN("SOO LINE RR XING 390908U")</f>
        <v>SOO LINE RR XING 390908U</v>
      </c>
      <c r="G155" s="3" t="str">
        <f>CLEAN("RR OPS/NEW CROSSING SURFACE/MISC")</f>
        <v>RR OPS/NEW CROSSING SURFACE/MISC</v>
      </c>
      <c r="H155" s="2" t="str">
        <f>CLEAN("STH 162")</f>
        <v>STH 162</v>
      </c>
      <c r="I155" s="2" t="str">
        <f>CLEAN("207")</f>
        <v>207</v>
      </c>
    </row>
    <row r="156" spans="1:9" x14ac:dyDescent="0.35">
      <c r="A156" s="2" t="str">
        <f>CLEAN("BROWN")</f>
        <v>BROWN</v>
      </c>
      <c r="B156" s="2" t="str">
        <f>CLEAN("Center for Childhood Safety")</f>
        <v>Center for Childhood Safety</v>
      </c>
      <c r="C156" s="2" t="s">
        <v>3347</v>
      </c>
      <c r="D156" s="2" t="str">
        <f>CLEAN("1009-01-35")</f>
        <v>1009-01-35</v>
      </c>
      <c r="E156" s="3" t="str">
        <f>CLEAN("CCSGB SRTS Project")</f>
        <v>CCSGB SRTS Project</v>
      </c>
      <c r="F156" s="3" t="str">
        <f>CLEAN("CENTER FOR CHILDHOOD SAFETY GREE")</f>
        <v>CENTER FOR CHILDHOOD SAFETY GREE</v>
      </c>
      <c r="G156" s="3" t="str">
        <f>CLEAN("SRTS PROGRAMING")</f>
        <v>SRTS PROGRAMING</v>
      </c>
      <c r="H156" s="2" t="str">
        <f>CLEAN("NON HWY")</f>
        <v>NON HWY</v>
      </c>
      <c r="I156" s="2" t="str">
        <f>CLEAN("290")</f>
        <v>290</v>
      </c>
    </row>
    <row r="157" spans="1:9" x14ac:dyDescent="0.35">
      <c r="A157" s="2" t="str">
        <f>CLEAN("BROWN")</f>
        <v>BROWN</v>
      </c>
      <c r="B157" s="2" t="str">
        <f>CLEAN("Center for Childhood Safety")</f>
        <v>Center for Childhood Safety</v>
      </c>
      <c r="C157" s="2" t="s">
        <v>21</v>
      </c>
      <c r="D157" s="2" t="str">
        <f>CLEAN("4998-28-00")</f>
        <v>4998-28-00</v>
      </c>
      <c r="E157" s="3" t="str">
        <f>CLEAN("Green Bay CCS SRTS Program")</f>
        <v>Green Bay CCS SRTS Program</v>
      </c>
      <c r="F157" s="3" t="str">
        <f>CLEAN("GREEN BAY SCHOOL DISTRICTS")</f>
        <v>GREEN BAY SCHOOL DISTRICTS</v>
      </c>
      <c r="G157" s="3" t="str">
        <f>CLEAN("CENTER FOR CHILDHOOD SAFETY")</f>
        <v>CENTER FOR CHILDHOOD SAFETY</v>
      </c>
      <c r="H157" s="2" t="str">
        <f>CLEAN("NON HWY")</f>
        <v>NON HWY</v>
      </c>
      <c r="I157" s="2" t="str">
        <f>CLEAN("290")</f>
        <v>290</v>
      </c>
    </row>
    <row r="158" spans="1:9" x14ac:dyDescent="0.35">
      <c r="A158" s="2" t="str">
        <f t="shared" ref="A158:A192" si="23">CLEAN("CHIPPEWA")</f>
        <v>CHIPPEWA</v>
      </c>
      <c r="B158" s="2" t="str">
        <f t="shared" ref="B158:B192" si="24">CLEAN("CHIPPEWA COUNTY")</f>
        <v>CHIPPEWA COUNTY</v>
      </c>
      <c r="C158" s="2" t="s">
        <v>1865</v>
      </c>
      <c r="D158" s="2" t="str">
        <f>CLEAN("7862-03-02")</f>
        <v>7862-03-02</v>
      </c>
      <c r="E158" s="3" t="str">
        <f>CLEAN("STH 29 - CTH O")</f>
        <v>STH 29 - CTH O</v>
      </c>
      <c r="F158" s="3" t="str">
        <f>CLEAN("YELLOW RIVER BRIDGE B-09-0497")</f>
        <v>YELLOW RIVER BRIDGE B-09-0497</v>
      </c>
      <c r="G158" s="3" t="str">
        <f>CLEAN("DESIGN/FULL PS&amp;E BRIDGE BRRPL")</f>
        <v>DESIGN/FULL PS&amp;E BRIDGE BRRPL</v>
      </c>
      <c r="H158" s="2" t="str">
        <f>CLEAN("CTH K")</f>
        <v>CTH K</v>
      </c>
      <c r="I158" s="2" t="str">
        <f>CLEAN("205")</f>
        <v>205</v>
      </c>
    </row>
    <row r="159" spans="1:9" x14ac:dyDescent="0.35">
      <c r="A159" s="2" t="str">
        <f t="shared" si="23"/>
        <v>CHIPPEWA</v>
      </c>
      <c r="B159" s="2" t="str">
        <f t="shared" si="24"/>
        <v>CHIPPEWA COUNTY</v>
      </c>
      <c r="C159" s="2" t="s">
        <v>1590</v>
      </c>
      <c r="D159" s="2" t="str">
        <f>CLEAN("7863-03-02")</f>
        <v>7863-03-02</v>
      </c>
      <c r="E159" s="3" t="str">
        <f>CLEAN("STH 27 - CTH G")</f>
        <v>STH 27 - CTH G</v>
      </c>
      <c r="F159" s="3" t="str">
        <f>CLEAN("HAY CREEK BRIDGE P-09-0068")</f>
        <v>HAY CREEK BRIDGE P-09-0068</v>
      </c>
      <c r="G159" s="3" t="str">
        <f>CLEAN("DESIGN - FULL PS&amp;E/BRRPL")</f>
        <v>DESIGN - FULL PS&amp;E/BRRPL</v>
      </c>
      <c r="H159" s="2" t="str">
        <f>CLEAN("CTH MM")</f>
        <v>CTH MM</v>
      </c>
      <c r="I159" s="2" t="str">
        <f>CLEAN("205")</f>
        <v>205</v>
      </c>
    </row>
    <row r="160" spans="1:9" x14ac:dyDescent="0.35">
      <c r="A160" s="2" t="str">
        <f t="shared" si="23"/>
        <v>CHIPPEWA</v>
      </c>
      <c r="B160" s="2" t="str">
        <f t="shared" si="24"/>
        <v>CHIPPEWA COUNTY</v>
      </c>
      <c r="C160" s="2" t="s">
        <v>1576</v>
      </c>
      <c r="D160" s="2" t="str">
        <f>CLEAN("8905-03-04")</f>
        <v>8905-03-04</v>
      </c>
      <c r="E160" s="3" t="str">
        <f>CLEAN("CTH CC - STH 27")</f>
        <v>CTH CC - STH 27</v>
      </c>
      <c r="F160" s="3" t="str">
        <f>CLEAN("CHIPPEWA RIVER BRIDGE B-09-0003")</f>
        <v>CHIPPEWA RIVER BRIDGE B-09-0003</v>
      </c>
      <c r="G160" s="3" t="str">
        <f>CLEAN("DESIGN - FULL PS&amp;E/BRRPL")</f>
        <v>DESIGN - FULL PS&amp;E/BRRPL</v>
      </c>
      <c r="H160" s="2" t="str">
        <f>CLEAN("CTH M")</f>
        <v>CTH M</v>
      </c>
      <c r="I160" s="2" t="str">
        <f>CLEAN("205")</f>
        <v>205</v>
      </c>
    </row>
    <row r="161" spans="1:9" x14ac:dyDescent="0.35">
      <c r="A161" s="2" t="str">
        <f t="shared" si="23"/>
        <v>CHIPPEWA</v>
      </c>
      <c r="B161" s="2" t="str">
        <f t="shared" si="24"/>
        <v>CHIPPEWA COUNTY</v>
      </c>
      <c r="C161" s="2" t="s">
        <v>1558</v>
      </c>
      <c r="D161" s="2" t="str">
        <f>CLEAN("8908-03-01")</f>
        <v>8908-03-01</v>
      </c>
      <c r="E161" s="3" t="str">
        <f>CLEAN("STH 64 - CTH M")</f>
        <v>STH 64 - CTH M</v>
      </c>
      <c r="F161" s="3" t="str">
        <f>CLEAN("STH 64 TO CTH M")</f>
        <v>STH 64 TO CTH M</v>
      </c>
      <c r="G161" s="3" t="str">
        <f>CLEAN("DESIGN - FULL PS&amp;E SAFTEY")</f>
        <v>DESIGN - FULL PS&amp;E SAFTEY</v>
      </c>
      <c r="H161" s="2" t="str">
        <f>CLEAN("CTH CC")</f>
        <v>CTH CC</v>
      </c>
      <c r="I161" s="2" t="str">
        <f>CLEAN("206")</f>
        <v>206</v>
      </c>
    </row>
    <row r="162" spans="1:9" x14ac:dyDescent="0.35">
      <c r="A162" s="2" t="str">
        <f t="shared" si="23"/>
        <v>CHIPPEWA</v>
      </c>
      <c r="B162" s="2" t="str">
        <f t="shared" si="24"/>
        <v>CHIPPEWA COUNTY</v>
      </c>
      <c r="C162" s="2" t="s">
        <v>1629</v>
      </c>
      <c r="D162" s="2" t="str">
        <f>CLEAN("8910-03-08")</f>
        <v>8910-03-08</v>
      </c>
      <c r="E162" s="3" t="str">
        <f>CLEAN("BOYD - ESTELLA")</f>
        <v>BOYD - ESTELLA</v>
      </c>
      <c r="F162" s="3" t="str">
        <f>CLEAN("CTH O TO CTH S NORTH")</f>
        <v>CTH O TO CTH S NORTH</v>
      </c>
      <c r="G162" s="3" t="str">
        <f>CLEAN("DESIGN - FULL PS&amp;E/PVRPLA")</f>
        <v>DESIGN - FULL PS&amp;E/PVRPLA</v>
      </c>
      <c r="H162" s="2" t="str">
        <f>CLEAN("CTH D")</f>
        <v>CTH D</v>
      </c>
      <c r="I162" s="2" t="str">
        <f>CLEAN("206")</f>
        <v>206</v>
      </c>
    </row>
    <row r="163" spans="1:9" x14ac:dyDescent="0.35">
      <c r="A163" s="2" t="str">
        <f t="shared" si="23"/>
        <v>CHIPPEWA</v>
      </c>
      <c r="B163" s="2" t="str">
        <f t="shared" si="24"/>
        <v>CHIPPEWA COUNTY</v>
      </c>
      <c r="C163" s="2" t="s">
        <v>2321</v>
      </c>
      <c r="D163" s="2" t="str">
        <f>CLEAN("8913-03-07")</f>
        <v>8913-03-07</v>
      </c>
      <c r="E163" s="3" t="str">
        <f>CLEAN("JIM FALLS - STH 178")</f>
        <v>JIM FALLS - STH 178</v>
      </c>
      <c r="F163" s="3" t="str">
        <f>CLEAN("CHIPPEWA RIVER 15 BRIDGE B-09-0123")</f>
        <v>CHIPPEWA RIVER 15 BRIDGE B-09-0123</v>
      </c>
      <c r="G163" s="3" t="str">
        <f>CLEAN("DESIGN-FULL PS&amp;E/BRIDGE REHAB")</f>
        <v>DESIGN-FULL PS&amp;E/BRIDGE REHAB</v>
      </c>
      <c r="H163" s="2" t="str">
        <f>CLEAN("CTH Y")</f>
        <v>CTH Y</v>
      </c>
      <c r="I163" s="2" t="str">
        <f>CLEAN("205")</f>
        <v>205</v>
      </c>
    </row>
    <row r="164" spans="1:9" x14ac:dyDescent="0.35">
      <c r="A164" s="2" t="str">
        <f t="shared" si="23"/>
        <v>CHIPPEWA</v>
      </c>
      <c r="B164" s="2" t="str">
        <f t="shared" si="24"/>
        <v>CHIPPEWA COUNTY</v>
      </c>
      <c r="C164" s="2" t="s">
        <v>2604</v>
      </c>
      <c r="D164" s="2" t="str">
        <f>CLEAN("8915-01-01")</f>
        <v>8915-01-01</v>
      </c>
      <c r="E164" s="3" t="str">
        <f>CLEAN("STH 178 - CTH K")</f>
        <v>STH 178 - CTH K</v>
      </c>
      <c r="F164" s="3" t="str">
        <f>CLEAN("CHIPPEWA RIVER BRIDGE B090965")</f>
        <v>CHIPPEWA RIVER BRIDGE B090965</v>
      </c>
      <c r="G164" s="3" t="str">
        <f>CLEAN("P/E  BRRPL")</f>
        <v>P/E  BRRPL</v>
      </c>
      <c r="H164" s="2" t="str">
        <f>CLEAN("CTH TT")</f>
        <v>CTH TT</v>
      </c>
      <c r="I164" s="2" t="str">
        <f>CLEAN("205")</f>
        <v>205</v>
      </c>
    </row>
    <row r="165" spans="1:9" x14ac:dyDescent="0.35">
      <c r="A165" s="2" t="str">
        <f t="shared" si="23"/>
        <v>CHIPPEWA</v>
      </c>
      <c r="B165" s="2" t="str">
        <f t="shared" si="24"/>
        <v>CHIPPEWA COUNTY</v>
      </c>
      <c r="C165" s="2" t="s">
        <v>1586</v>
      </c>
      <c r="D165" s="2" t="str">
        <f>CLEAN("8919-03-06")</f>
        <v>8919-03-06</v>
      </c>
      <c r="E165" s="3" t="str">
        <f>CLEAN("ELK MOUND - CHIPPEWA FALLS")</f>
        <v>ELK MOUND - CHIPPEWA FALLS</v>
      </c>
      <c r="F165" s="3" t="str">
        <f>CLEAN("ELK CREEK BRIDGE B-09-0372")</f>
        <v>ELK CREEK BRIDGE B-09-0372</v>
      </c>
      <c r="G165" s="3" t="str">
        <f>CLEAN("DESIGN - FULL PS&amp;E/BRRPL")</f>
        <v>DESIGN - FULL PS&amp;E/BRRPL</v>
      </c>
      <c r="H165" s="2" t="str">
        <f>CLEAN("CTH X")</f>
        <v>CTH X</v>
      </c>
      <c r="I165" s="2" t="str">
        <f>CLEAN("205")</f>
        <v>205</v>
      </c>
    </row>
    <row r="166" spans="1:9" x14ac:dyDescent="0.35">
      <c r="A166" s="2" t="str">
        <f t="shared" si="23"/>
        <v>CHIPPEWA</v>
      </c>
      <c r="B166" s="2" t="str">
        <f t="shared" si="24"/>
        <v>CHIPPEWA COUNTY</v>
      </c>
      <c r="C166" s="2" t="s">
        <v>1564</v>
      </c>
      <c r="D166" s="2" t="str">
        <f>CLEAN("8920-06-04")</f>
        <v>8920-06-04</v>
      </c>
      <c r="E166" s="3" t="str">
        <f>CLEAN("STH 27 - CTH D")</f>
        <v>STH 27 - CTH D</v>
      </c>
      <c r="F166" s="3" t="str">
        <f>CLEAN("YELLOW RIVER BRIDGE B-09-0382")</f>
        <v>YELLOW RIVER BRIDGE B-09-0382</v>
      </c>
      <c r="G166" s="3" t="str">
        <f>CLEAN("DESIGN - FULL PS&amp;E/BRRHB")</f>
        <v>DESIGN - FULL PS&amp;E/BRRHB</v>
      </c>
      <c r="H166" s="2" t="str">
        <f>CLEAN("CTH O")</f>
        <v>CTH O</v>
      </c>
      <c r="I166" s="2" t="str">
        <f>CLEAN("205")</f>
        <v>205</v>
      </c>
    </row>
    <row r="167" spans="1:9" x14ac:dyDescent="0.35">
      <c r="A167" s="2" t="str">
        <f t="shared" si="23"/>
        <v>CHIPPEWA</v>
      </c>
      <c r="B167" s="2" t="str">
        <f t="shared" si="24"/>
        <v>CHIPPEWA COUNTY</v>
      </c>
      <c r="C167" s="2" t="s">
        <v>2248</v>
      </c>
      <c r="D167" s="2" t="str">
        <f>CLEAN("8996-01-06")</f>
        <v>8996-01-06</v>
      </c>
      <c r="E167" s="3" t="str">
        <f>CLEAN("CHIPPEWA FALLS - CTH K")</f>
        <v>CHIPPEWA FALLS - CTH K</v>
      </c>
      <c r="F167" s="3" t="str">
        <f>CLEAN("CTH J &amp; 50TH AVE INTERSECTION")</f>
        <v>CTH J &amp; 50TH AVE INTERSECTION</v>
      </c>
      <c r="G167" s="3" t="str">
        <f>CLEAN("DESIGN/RECONSTRUCT")</f>
        <v>DESIGN/RECONSTRUCT</v>
      </c>
      <c r="H167" s="2" t="str">
        <f>CLEAN("CTH J")</f>
        <v>CTH J</v>
      </c>
      <c r="I167" s="2" t="str">
        <f>CLEAN("206")</f>
        <v>206</v>
      </c>
    </row>
    <row r="168" spans="1:9" x14ac:dyDescent="0.35">
      <c r="A168" s="2" t="str">
        <f t="shared" si="23"/>
        <v>CHIPPEWA</v>
      </c>
      <c r="B168" s="2" t="str">
        <f t="shared" si="24"/>
        <v>CHIPPEWA COUNTY</v>
      </c>
      <c r="C168" s="2" t="s">
        <v>1320</v>
      </c>
      <c r="D168" s="2" t="str">
        <f>CLEAN("8996-01-07")</f>
        <v>8996-01-07</v>
      </c>
      <c r="E168" s="3" t="str">
        <f>CLEAN("CHIPPEWA FALLS - CTH K")</f>
        <v>CHIPPEWA FALLS - CTH K</v>
      </c>
      <c r="F168" s="3" t="str">
        <f>CLEAN("CTH J &amp; 50TH AVE INTERSECTION")</f>
        <v>CTH J &amp; 50TH AVE INTERSECTION</v>
      </c>
      <c r="G168" s="3" t="str">
        <f>CLEAN("CONSTRUCTION/RECONSTRUCT")</f>
        <v>CONSTRUCTION/RECONSTRUCT</v>
      </c>
      <c r="H168" s="2" t="str">
        <f>CLEAN("CTH J")</f>
        <v>CTH J</v>
      </c>
      <c r="I168" s="2" t="str">
        <f>CLEAN("206")</f>
        <v>206</v>
      </c>
    </row>
    <row r="169" spans="1:9" x14ac:dyDescent="0.35">
      <c r="A169" s="2" t="str">
        <f t="shared" si="23"/>
        <v>CHIPPEWA</v>
      </c>
      <c r="B169" s="2" t="str">
        <f t="shared" si="24"/>
        <v>CHIPPEWA COUNTY</v>
      </c>
      <c r="C169" s="2" t="s">
        <v>1744</v>
      </c>
      <c r="D169" s="2" t="str">
        <f>CLEAN("1050-01-09")</f>
        <v>1050-01-09</v>
      </c>
      <c r="E169" s="3" t="str">
        <f>CLEAN("CHIPPEWA FALLS - CADOTT")</f>
        <v>CHIPPEWA FALLS - CADOTT</v>
      </c>
      <c r="F169" s="3" t="str">
        <f>CLEAN("50TH AVENUE BRIDGE B-09-0033")</f>
        <v>50TH AVENUE BRIDGE B-09-0033</v>
      </c>
      <c r="G169" s="3" t="str">
        <f>CLEAN("DESIGN/BRIDGE REPLACEMENT")</f>
        <v>DESIGN/BRIDGE REPLACEMENT</v>
      </c>
      <c r="H169" s="2" t="str">
        <f>CLEAN("STH 029")</f>
        <v>STH 029</v>
      </c>
      <c r="I169" s="2" t="str">
        <f>CLEAN("303")</f>
        <v>303</v>
      </c>
    </row>
    <row r="170" spans="1:9" x14ac:dyDescent="0.35">
      <c r="A170" s="2" t="str">
        <f t="shared" si="23"/>
        <v>CHIPPEWA</v>
      </c>
      <c r="B170" s="2" t="str">
        <f t="shared" si="24"/>
        <v>CHIPPEWA COUNTY</v>
      </c>
      <c r="C170" s="2" t="s">
        <v>1431</v>
      </c>
      <c r="D170" s="2" t="str">
        <f>CLEAN("7861-00-00")</f>
        <v>7861-00-00</v>
      </c>
      <c r="E170" s="3" t="str">
        <f>CLEAN("T EDSON  370TH STREET")</f>
        <v>T EDSON  370TH STREET</v>
      </c>
      <c r="F170" s="3" t="str">
        <f>CLEAN("BR WOLF RIVER BRIDGE P-09-0932")</f>
        <v>BR WOLF RIVER BRIDGE P-09-0932</v>
      </c>
      <c r="G170" s="3" t="str">
        <f>CLEAN("DESIGN - FULL PS&amp;E BRRPL")</f>
        <v>DESIGN - FULL PS&amp;E BRRPL</v>
      </c>
      <c r="H170" s="2" t="str">
        <f t="shared" ref="H170:H175" si="25">CLEAN("LOC STR")</f>
        <v>LOC STR</v>
      </c>
      <c r="I170" s="2" t="str">
        <f t="shared" ref="I170:I175" si="26">CLEAN("205")</f>
        <v>205</v>
      </c>
    </row>
    <row r="171" spans="1:9" x14ac:dyDescent="0.35">
      <c r="A171" s="2" t="str">
        <f t="shared" si="23"/>
        <v>CHIPPEWA</v>
      </c>
      <c r="B171" s="2" t="str">
        <f t="shared" si="24"/>
        <v>CHIPPEWA COUNTY</v>
      </c>
      <c r="C171" s="2" t="s">
        <v>1867</v>
      </c>
      <c r="D171" s="2" t="str">
        <f>CLEAN("7861-00-01")</f>
        <v>7861-00-01</v>
      </c>
      <c r="E171" s="3" t="str">
        <f>CLEAN("T EDSON  20TH AVENUE")</f>
        <v>T EDSON  20TH AVENUE</v>
      </c>
      <c r="F171" s="3" t="str">
        <f>CLEAN("HAY CREEK BRIDGE P-09-0168")</f>
        <v>HAY CREEK BRIDGE P-09-0168</v>
      </c>
      <c r="G171" s="3" t="str">
        <f>CLEAN("DESIGN/FULL PS&amp;E BRIDGE REPLACEMENT")</f>
        <v>DESIGN/FULL PS&amp;E BRIDGE REPLACEMENT</v>
      </c>
      <c r="H171" s="2" t="str">
        <f t="shared" si="25"/>
        <v>LOC STR</v>
      </c>
      <c r="I171" s="2" t="str">
        <f t="shared" si="26"/>
        <v>205</v>
      </c>
    </row>
    <row r="172" spans="1:9" x14ac:dyDescent="0.35">
      <c r="A172" s="2" t="str">
        <f t="shared" si="23"/>
        <v>CHIPPEWA</v>
      </c>
      <c r="B172" s="2" t="str">
        <f t="shared" si="24"/>
        <v>CHIPPEWA COUNTY</v>
      </c>
      <c r="C172" s="2" t="s">
        <v>1616</v>
      </c>
      <c r="D172" s="2" t="str">
        <f>CLEAN("7861-00-02")</f>
        <v>7861-00-02</v>
      </c>
      <c r="E172" s="3" t="str">
        <f>CLEAN("T EDSON  25TH AVE")</f>
        <v>T EDSON  25TH AVE</v>
      </c>
      <c r="F172" s="3" t="str">
        <f>CLEAN("SWAN CREEK BRIDGE P-09-0026")</f>
        <v>SWAN CREEK BRIDGE P-09-0026</v>
      </c>
      <c r="G172" s="3" t="str">
        <f>CLEAN("DESIGN - FULL PS&amp;E/BRRPL")</f>
        <v>DESIGN - FULL PS&amp;E/BRRPL</v>
      </c>
      <c r="H172" s="2" t="str">
        <f t="shared" si="25"/>
        <v>LOC STR</v>
      </c>
      <c r="I172" s="2" t="str">
        <f t="shared" si="26"/>
        <v>205</v>
      </c>
    </row>
    <row r="173" spans="1:9" x14ac:dyDescent="0.35">
      <c r="A173" s="2" t="str">
        <f t="shared" si="23"/>
        <v>CHIPPEWA</v>
      </c>
      <c r="B173" s="2" t="str">
        <f t="shared" si="24"/>
        <v>CHIPPEWA COUNTY</v>
      </c>
      <c r="C173" s="2" t="s">
        <v>1164</v>
      </c>
      <c r="D173" s="2" t="str">
        <f>CLEAN("7861-00-70")</f>
        <v>7861-00-70</v>
      </c>
      <c r="E173" s="3" t="str">
        <f>CLEAN("T EDSON  370TH STREET")</f>
        <v>T EDSON  370TH STREET</v>
      </c>
      <c r="F173" s="3" t="str">
        <f>CLEAN("BR WOLF RIVER BRIDGE B-09-0310")</f>
        <v>BR WOLF RIVER BRIDGE B-09-0310</v>
      </c>
      <c r="G173" s="3" t="str">
        <f>CLEAN("CONSTRUCTION/BRIDGE REPLACEMENT")</f>
        <v>CONSTRUCTION/BRIDGE REPLACEMENT</v>
      </c>
      <c r="H173" s="2" t="str">
        <f t="shared" si="25"/>
        <v>LOC STR</v>
      </c>
      <c r="I173" s="2" t="str">
        <f t="shared" si="26"/>
        <v>205</v>
      </c>
    </row>
    <row r="174" spans="1:9" x14ac:dyDescent="0.35">
      <c r="A174" s="2" t="str">
        <f t="shared" si="23"/>
        <v>CHIPPEWA</v>
      </c>
      <c r="B174" s="2" t="str">
        <f t="shared" si="24"/>
        <v>CHIPPEWA COUNTY</v>
      </c>
      <c r="C174" s="2" t="s">
        <v>1183</v>
      </c>
      <c r="D174" s="2" t="str">
        <f>CLEAN("7861-00-71")</f>
        <v>7861-00-71</v>
      </c>
      <c r="E174" s="3" t="str">
        <f>CLEAN("T EDSON  20TH AVENUE")</f>
        <v>T EDSON  20TH AVENUE</v>
      </c>
      <c r="F174" s="3" t="str">
        <f>CLEAN("HAY CREEK BRIDGE B-09-0313")</f>
        <v>HAY CREEK BRIDGE B-09-0313</v>
      </c>
      <c r="G174" s="3" t="str">
        <f>CLEAN("CONSTRUCTION/BRIDGE REPLACEMENT")</f>
        <v>CONSTRUCTION/BRIDGE REPLACEMENT</v>
      </c>
      <c r="H174" s="2" t="str">
        <f t="shared" si="25"/>
        <v>LOC STR</v>
      </c>
      <c r="I174" s="2" t="str">
        <f t="shared" si="26"/>
        <v>205</v>
      </c>
    </row>
    <row r="175" spans="1:9" x14ac:dyDescent="0.35">
      <c r="A175" s="2" t="str">
        <f t="shared" si="23"/>
        <v>CHIPPEWA</v>
      </c>
      <c r="B175" s="2" t="str">
        <f t="shared" si="24"/>
        <v>CHIPPEWA COUNTY</v>
      </c>
      <c r="C175" s="2" t="s">
        <v>1198</v>
      </c>
      <c r="D175" s="2" t="str">
        <f>CLEAN("7862-00-70")</f>
        <v>7862-00-70</v>
      </c>
      <c r="E175" s="3" t="str">
        <f>CLEAN("T SIGEL  240TH STREET")</f>
        <v>T SIGEL  240TH STREET</v>
      </c>
      <c r="F175" s="3" t="str">
        <f>CLEAN("PAINT CREEK BRIDGE B-09-0393")</f>
        <v>PAINT CREEK BRIDGE B-09-0393</v>
      </c>
      <c r="G175" s="3" t="str">
        <f>CLEAN("CONSTRUCTION/BRIDGE REPLACEMENT")</f>
        <v>CONSTRUCTION/BRIDGE REPLACEMENT</v>
      </c>
      <c r="H175" s="2" t="str">
        <f t="shared" si="25"/>
        <v>LOC STR</v>
      </c>
      <c r="I175" s="2" t="str">
        <f t="shared" si="26"/>
        <v>205</v>
      </c>
    </row>
    <row r="176" spans="1:9" x14ac:dyDescent="0.35">
      <c r="A176" s="2" t="str">
        <f t="shared" si="23"/>
        <v>CHIPPEWA</v>
      </c>
      <c r="B176" s="2" t="str">
        <f t="shared" si="24"/>
        <v>CHIPPEWA COUNTY</v>
      </c>
      <c r="C176" s="2" t="s">
        <v>1888</v>
      </c>
      <c r="D176" s="2" t="str">
        <f>CLEAN("7863-00-02")</f>
        <v>7863-00-02</v>
      </c>
      <c r="E176" s="3" t="str">
        <f>CLEAN("CHIPPEWA COUNTY  50TH AVE TRAIL")</f>
        <v>CHIPPEWA COUNTY  50TH AVE TRAIL</v>
      </c>
      <c r="F176" s="3" t="str">
        <f>CLEAN("STILLSON SCHOOL TO CTH J")</f>
        <v>STILLSON SCHOOL TO CTH J</v>
      </c>
      <c r="G176" s="3" t="str">
        <f>CLEAN("DESIGN/FULL PS&amp;E/SHARED USE PATH")</f>
        <v>DESIGN/FULL PS&amp;E/SHARED USE PATH</v>
      </c>
      <c r="H176" s="2" t="str">
        <f>CLEAN("OFF SYS")</f>
        <v>OFF SYS</v>
      </c>
      <c r="I176" s="2" t="str">
        <f>CLEAN("290")</f>
        <v>290</v>
      </c>
    </row>
    <row r="177" spans="1:9" x14ac:dyDescent="0.35">
      <c r="A177" s="2" t="str">
        <f t="shared" si="23"/>
        <v>CHIPPEWA</v>
      </c>
      <c r="B177" s="2" t="str">
        <f t="shared" si="24"/>
        <v>CHIPPEWA COUNTY</v>
      </c>
      <c r="C177" s="2" t="s">
        <v>1689</v>
      </c>
      <c r="D177" s="2" t="str">
        <f>CLEAN("7864-00-04")</f>
        <v>7864-00-04</v>
      </c>
      <c r="E177" s="3" t="str">
        <f>CLEAN("EAU CLAIRE - CHIPPEWA FALLS")</f>
        <v>EAU CLAIRE - CHIPPEWA FALLS</v>
      </c>
      <c r="F177" s="3" t="str">
        <f>CLEAN("BUS 53 TO STH 124")</f>
        <v>BUS 53 TO STH 124</v>
      </c>
      <c r="G177" s="3" t="str">
        <f>CLEAN("DESIGN FULL PS&amp;E/RECONDITION")</f>
        <v>DESIGN FULL PS&amp;E/RECONDITION</v>
      </c>
      <c r="H177" s="2" t="str">
        <f>CLEAN("CTH OO")</f>
        <v>CTH OO</v>
      </c>
      <c r="I177" s="2" t="str">
        <f>CLEAN("206")</f>
        <v>206</v>
      </c>
    </row>
    <row r="178" spans="1:9" x14ac:dyDescent="0.35">
      <c r="A178" s="2" t="str">
        <f t="shared" si="23"/>
        <v>CHIPPEWA</v>
      </c>
      <c r="B178" s="2" t="str">
        <f t="shared" si="24"/>
        <v>CHIPPEWA COUNTY</v>
      </c>
      <c r="C178" s="2" t="s">
        <v>1313</v>
      </c>
      <c r="D178" s="2" t="str">
        <f>CLEAN("7864-00-74")</f>
        <v>7864-00-74</v>
      </c>
      <c r="E178" s="3" t="str">
        <f>CLEAN("EAU CLAIRE - CHIPPEWA FALLS")</f>
        <v>EAU CLAIRE - CHIPPEWA FALLS</v>
      </c>
      <c r="F178" s="3" t="str">
        <f>CLEAN("BUS 53 TO STH 124")</f>
        <v>BUS 53 TO STH 124</v>
      </c>
      <c r="G178" s="3" t="str">
        <f>CLEAN("CONSTRUCTION/RECONDITION")</f>
        <v>CONSTRUCTION/RECONDITION</v>
      </c>
      <c r="H178" s="2" t="str">
        <f>CLEAN("CTH OO")</f>
        <v>CTH OO</v>
      </c>
      <c r="I178" s="2" t="str">
        <f>CLEAN("206")</f>
        <v>206</v>
      </c>
    </row>
    <row r="179" spans="1:9" x14ac:dyDescent="0.35">
      <c r="A179" s="2" t="str">
        <f t="shared" si="23"/>
        <v>CHIPPEWA</v>
      </c>
      <c r="B179" s="2" t="str">
        <f t="shared" si="24"/>
        <v>CHIPPEWA COUNTY</v>
      </c>
      <c r="C179" s="2" t="s">
        <v>1215</v>
      </c>
      <c r="D179" s="2" t="str">
        <f>CLEAN("8902-05-70")</f>
        <v>8902-05-70</v>
      </c>
      <c r="E179" s="3" t="str">
        <f>CLEAN("STH 29 - STH 64")</f>
        <v>STH 29 - STH 64</v>
      </c>
      <c r="F179" s="3" t="str">
        <f>CLEAN("YELLOW RIVER BRIDGE B-09-0394")</f>
        <v>YELLOW RIVER BRIDGE B-09-0394</v>
      </c>
      <c r="G179" s="3" t="str">
        <f>CLEAN("CONSTRUCTION/BRIDGE REPLACEMENT")</f>
        <v>CONSTRUCTION/BRIDGE REPLACEMENT</v>
      </c>
      <c r="H179" s="2" t="str">
        <f>CLEAN("CTH G")</f>
        <v>CTH G</v>
      </c>
      <c r="I179" s="2" t="str">
        <f t="shared" ref="I179:I186" si="27">CLEAN("205")</f>
        <v>205</v>
      </c>
    </row>
    <row r="180" spans="1:9" x14ac:dyDescent="0.35">
      <c r="A180" s="2" t="str">
        <f t="shared" si="23"/>
        <v>CHIPPEWA</v>
      </c>
      <c r="B180" s="2" t="str">
        <f t="shared" si="24"/>
        <v>CHIPPEWA COUNTY</v>
      </c>
      <c r="C180" s="2" t="s">
        <v>1443</v>
      </c>
      <c r="D180" s="2" t="str">
        <f>CLEAN("8907-00-01")</f>
        <v>8907-00-01</v>
      </c>
      <c r="E180" s="3" t="str">
        <f>CLEAN("T BLOOMER  225TH AVENUE")</f>
        <v>T BLOOMER  225TH AVENUE</v>
      </c>
      <c r="F180" s="3" t="str">
        <f>CLEAN("DUNCAN CREEK BRIDGE P-09-0105")</f>
        <v>DUNCAN CREEK BRIDGE P-09-0105</v>
      </c>
      <c r="G180" s="3" t="str">
        <f>CLEAN("DESIGN - FULL PS&amp;E BRRPL")</f>
        <v>DESIGN - FULL PS&amp;E BRRPL</v>
      </c>
      <c r="H180" s="2" t="str">
        <f t="shared" ref="H180:H186" si="28">CLEAN("LOC STR")</f>
        <v>LOC STR</v>
      </c>
      <c r="I180" s="2" t="str">
        <f t="shared" si="27"/>
        <v>205</v>
      </c>
    </row>
    <row r="181" spans="1:9" x14ac:dyDescent="0.35">
      <c r="A181" s="2" t="str">
        <f t="shared" si="23"/>
        <v>CHIPPEWA</v>
      </c>
      <c r="B181" s="2" t="str">
        <f t="shared" si="24"/>
        <v>CHIPPEWA COUNTY</v>
      </c>
      <c r="C181" s="2" t="s">
        <v>1425</v>
      </c>
      <c r="D181" s="2" t="str">
        <f>CLEAN("8907-00-02")</f>
        <v>8907-00-02</v>
      </c>
      <c r="E181" s="3" t="str">
        <f>CLEAN("T BLOOMER  190TH AVENUE")</f>
        <v>T BLOOMER  190TH AVENUE</v>
      </c>
      <c r="F181" s="3" t="str">
        <f>CLEAN("BR DUNCAN CREEK BRIDGE P-09-0124")</f>
        <v>BR DUNCAN CREEK BRIDGE P-09-0124</v>
      </c>
      <c r="G181" s="3" t="str">
        <f>CLEAN("DESIGN - FULL PS&amp;E BRRPL")</f>
        <v>DESIGN - FULL PS&amp;E BRRPL</v>
      </c>
      <c r="H181" s="2" t="str">
        <f t="shared" si="28"/>
        <v>LOC STR</v>
      </c>
      <c r="I181" s="2" t="str">
        <f t="shared" si="27"/>
        <v>205</v>
      </c>
    </row>
    <row r="182" spans="1:9" x14ac:dyDescent="0.35">
      <c r="A182" s="2" t="str">
        <f t="shared" si="23"/>
        <v>CHIPPEWA</v>
      </c>
      <c r="B182" s="2" t="str">
        <f t="shared" si="24"/>
        <v>CHIPPEWA COUNTY</v>
      </c>
      <c r="C182" s="2" t="s">
        <v>1598</v>
      </c>
      <c r="D182" s="2" t="str">
        <f>CLEAN("8907-00-03")</f>
        <v>8907-00-03</v>
      </c>
      <c r="E182" s="3" t="str">
        <f>CLEAN("T BLOOMER  205TH AVE")</f>
        <v>T BLOOMER  205TH AVE</v>
      </c>
      <c r="F182" s="3" t="str">
        <f>CLEAN("MCCANN CREEK BRIDGE P-09-0107")</f>
        <v>MCCANN CREEK BRIDGE P-09-0107</v>
      </c>
      <c r="G182" s="3" t="str">
        <f>CLEAN("DESIGN - FULL PS&amp;E/BRRPL")</f>
        <v>DESIGN - FULL PS&amp;E/BRRPL</v>
      </c>
      <c r="H182" s="2" t="str">
        <f t="shared" si="28"/>
        <v>LOC STR</v>
      </c>
      <c r="I182" s="2" t="str">
        <f t="shared" si="27"/>
        <v>205</v>
      </c>
    </row>
    <row r="183" spans="1:9" x14ac:dyDescent="0.35">
      <c r="A183" s="2" t="str">
        <f t="shared" si="23"/>
        <v>CHIPPEWA</v>
      </c>
      <c r="B183" s="2" t="str">
        <f t="shared" si="24"/>
        <v>CHIPPEWA COUNTY</v>
      </c>
      <c r="C183" s="2" t="s">
        <v>1583</v>
      </c>
      <c r="D183" s="2" t="str">
        <f>CLEAN("8907-00-04")</f>
        <v>8907-00-04</v>
      </c>
      <c r="E183" s="3" t="str">
        <f>CLEAN("T BLOOMER  83RD ST")</f>
        <v>T BLOOMER  83RD ST</v>
      </c>
      <c r="F183" s="3" t="str">
        <f>CLEAN("DUNCAN CREEK BRIDGE P-09-0014")</f>
        <v>DUNCAN CREEK BRIDGE P-09-0014</v>
      </c>
      <c r="G183" s="3" t="str">
        <f>CLEAN("DESIGN - FULL PS&amp;E/BRRPL")</f>
        <v>DESIGN - FULL PS&amp;E/BRRPL</v>
      </c>
      <c r="H183" s="2" t="str">
        <f t="shared" si="28"/>
        <v>LOC STR</v>
      </c>
      <c r="I183" s="2" t="str">
        <f t="shared" si="27"/>
        <v>205</v>
      </c>
    </row>
    <row r="184" spans="1:9" x14ac:dyDescent="0.35">
      <c r="A184" s="2" t="str">
        <f t="shared" si="23"/>
        <v>CHIPPEWA</v>
      </c>
      <c r="B184" s="2" t="str">
        <f t="shared" si="24"/>
        <v>CHIPPEWA COUNTY</v>
      </c>
      <c r="C184" s="2" t="s">
        <v>1174</v>
      </c>
      <c r="D184" s="2" t="str">
        <f>CLEAN("8907-00-71")</f>
        <v>8907-00-71</v>
      </c>
      <c r="E184" s="3" t="str">
        <f>CLEAN("T BLOOMER  225TH AVENUE")</f>
        <v>T BLOOMER  225TH AVENUE</v>
      </c>
      <c r="F184" s="3" t="str">
        <f>CLEAN("DUNCAN CREEK BRIDGE B-09-0312")</f>
        <v>DUNCAN CREEK BRIDGE B-09-0312</v>
      </c>
      <c r="G184" s="3" t="str">
        <f>CLEAN("CONSTRUCTION/BRIDGE REPLACEMENT")</f>
        <v>CONSTRUCTION/BRIDGE REPLACEMENT</v>
      </c>
      <c r="H184" s="2" t="str">
        <f t="shared" si="28"/>
        <v>LOC STR</v>
      </c>
      <c r="I184" s="2" t="str">
        <f t="shared" si="27"/>
        <v>205</v>
      </c>
    </row>
    <row r="185" spans="1:9" x14ac:dyDescent="0.35">
      <c r="A185" s="2" t="str">
        <f t="shared" si="23"/>
        <v>CHIPPEWA</v>
      </c>
      <c r="B185" s="2" t="str">
        <f t="shared" si="24"/>
        <v>CHIPPEWA COUNTY</v>
      </c>
      <c r="C185" s="2" t="s">
        <v>1162</v>
      </c>
      <c r="D185" s="2" t="str">
        <f>CLEAN("8907-00-72")</f>
        <v>8907-00-72</v>
      </c>
      <c r="E185" s="3" t="str">
        <f>CLEAN("T BLOOMER  190TH AVENUE")</f>
        <v>T BLOOMER  190TH AVENUE</v>
      </c>
      <c r="F185" s="3" t="str">
        <f>CLEAN("BR DUNCAN CREEK BRIDGE B-09-0311")</f>
        <v>BR DUNCAN CREEK BRIDGE B-09-0311</v>
      </c>
      <c r="G185" s="3" t="str">
        <f>CLEAN("CONSTRUCTION/BRIDGE REPLACEMENT")</f>
        <v>CONSTRUCTION/BRIDGE REPLACEMENT</v>
      </c>
      <c r="H185" s="2" t="str">
        <f t="shared" si="28"/>
        <v>LOC STR</v>
      </c>
      <c r="I185" s="2" t="str">
        <f t="shared" si="27"/>
        <v>205</v>
      </c>
    </row>
    <row r="186" spans="1:9" x14ac:dyDescent="0.35">
      <c r="A186" s="2" t="str">
        <f t="shared" si="23"/>
        <v>CHIPPEWA</v>
      </c>
      <c r="B186" s="2" t="str">
        <f t="shared" si="24"/>
        <v>CHIPPEWA COUNTY</v>
      </c>
      <c r="C186" s="2" t="s">
        <v>1250</v>
      </c>
      <c r="D186" s="2" t="str">
        <f>CLEAN("8907-00-73")</f>
        <v>8907-00-73</v>
      </c>
      <c r="E186" s="3" t="str">
        <f>CLEAN("T BLOOMER  205TH AVE")</f>
        <v>T BLOOMER  205TH AVE</v>
      </c>
      <c r="F186" s="3" t="str">
        <f>CLEAN("MCCANN CREEK BRIDGE B-09-0319")</f>
        <v>MCCANN CREEK BRIDGE B-09-0319</v>
      </c>
      <c r="G186" s="3" t="str">
        <f>CLEAN("CONSTRUCTION/BRRPL")</f>
        <v>CONSTRUCTION/BRRPL</v>
      </c>
      <c r="H186" s="2" t="str">
        <f t="shared" si="28"/>
        <v>LOC STR</v>
      </c>
      <c r="I186" s="2" t="str">
        <f t="shared" si="27"/>
        <v>205</v>
      </c>
    </row>
    <row r="187" spans="1:9" x14ac:dyDescent="0.35">
      <c r="A187" s="2" t="str">
        <f t="shared" si="23"/>
        <v>CHIPPEWA</v>
      </c>
      <c r="B187" s="2" t="str">
        <f t="shared" si="24"/>
        <v>CHIPPEWA COUNTY</v>
      </c>
      <c r="C187" s="2" t="s">
        <v>1376</v>
      </c>
      <c r="D187" s="2" t="str">
        <f>CLEAN("8908-03-71")</f>
        <v>8908-03-71</v>
      </c>
      <c r="E187" s="3" t="str">
        <f>CLEAN("STH 64 - CTH M")</f>
        <v>STH 64 - CTH M</v>
      </c>
      <c r="F187" s="3" t="str">
        <f>CLEAN("STH 64 TO CTH M")</f>
        <v>STH 64 TO CTH M</v>
      </c>
      <c r="G187" s="3" t="str">
        <f>CLEAN("CONSTRUCTION/SAFETY")</f>
        <v>CONSTRUCTION/SAFETY</v>
      </c>
      <c r="H187" s="2" t="str">
        <f>CLEAN("CTH CC")</f>
        <v>CTH CC</v>
      </c>
      <c r="I187" s="2" t="str">
        <f>CLEAN("206")</f>
        <v>206</v>
      </c>
    </row>
    <row r="188" spans="1:9" x14ac:dyDescent="0.35">
      <c r="A188" s="2" t="str">
        <f t="shared" si="23"/>
        <v>CHIPPEWA</v>
      </c>
      <c r="B188" s="2" t="str">
        <f t="shared" si="24"/>
        <v>CHIPPEWA COUNTY</v>
      </c>
      <c r="C188" s="2" t="s">
        <v>1238</v>
      </c>
      <c r="D188" s="2" t="str">
        <f>CLEAN("8915-00-70")</f>
        <v>8915-00-70</v>
      </c>
      <c r="E188" s="3" t="str">
        <f>CLEAN("STH 178 - CTH K")</f>
        <v>STH 178 - CTH K</v>
      </c>
      <c r="F188" s="3" t="str">
        <f>CLEAN("CHIPPEWA RIVER BRIDGE B-09-0387")</f>
        <v>CHIPPEWA RIVER BRIDGE B-09-0387</v>
      </c>
      <c r="G188" s="3" t="str">
        <f>CLEAN("CONSTRUCTION/BRRPL")</f>
        <v>CONSTRUCTION/BRRPL</v>
      </c>
      <c r="H188" s="2" t="str">
        <f>CLEAN("CTH TT")</f>
        <v>CTH TT</v>
      </c>
      <c r="I188" s="2" t="str">
        <f>CLEAN("205")</f>
        <v>205</v>
      </c>
    </row>
    <row r="189" spans="1:9" x14ac:dyDescent="0.35">
      <c r="A189" s="2" t="str">
        <f t="shared" si="23"/>
        <v>CHIPPEWA</v>
      </c>
      <c r="B189" s="2" t="str">
        <f t="shared" si="24"/>
        <v>CHIPPEWA COUNTY</v>
      </c>
      <c r="C189" s="2" t="s">
        <v>1620</v>
      </c>
      <c r="D189" s="2" t="str">
        <f>CLEAN("8916-00-02")</f>
        <v>8916-00-02</v>
      </c>
      <c r="E189" s="3" t="str">
        <f>CLEAN("HURON - GILMAN")</f>
        <v>HURON - GILMAN</v>
      </c>
      <c r="F189" s="3" t="str">
        <f>CLEAN("YELLOW RIVER BRIDGE B-09-0009")</f>
        <v>YELLOW RIVER BRIDGE B-09-0009</v>
      </c>
      <c r="G189" s="3" t="str">
        <f>CLEAN("DESIGN - FULL PS&amp;E/BRRPL")</f>
        <v>DESIGN - FULL PS&amp;E/BRRPL</v>
      </c>
      <c r="H189" s="2" t="str">
        <f>CLEAN("CTH S")</f>
        <v>CTH S</v>
      </c>
      <c r="I189" s="2" t="str">
        <f>CLEAN("205")</f>
        <v>205</v>
      </c>
    </row>
    <row r="190" spans="1:9" x14ac:dyDescent="0.35">
      <c r="A190" s="2" t="str">
        <f t="shared" si="23"/>
        <v>CHIPPEWA</v>
      </c>
      <c r="B190" s="2" t="str">
        <f t="shared" si="24"/>
        <v>CHIPPEWA COUNTY</v>
      </c>
      <c r="C190" s="2" t="s">
        <v>1361</v>
      </c>
      <c r="D190" s="2" t="str">
        <f>CLEAN("8919-03-75")</f>
        <v>8919-03-75</v>
      </c>
      <c r="E190" s="3" t="str">
        <f>CLEAN("CHIPPEWA FALLS - CADOTT")</f>
        <v>CHIPPEWA FALLS - CADOTT</v>
      </c>
      <c r="F190" s="3" t="str">
        <f>CLEAN("197TH ST TO CTH XX")</f>
        <v>197TH ST TO CTH XX</v>
      </c>
      <c r="G190" s="3" t="str">
        <f>CLEAN("CONSTRUCTION/RESURFACE/CIR")</f>
        <v>CONSTRUCTION/RESURFACE/CIR</v>
      </c>
      <c r="H190" s="2" t="str">
        <f>CLEAN("CTH X")</f>
        <v>CTH X</v>
      </c>
      <c r="I190" s="2" t="str">
        <f>CLEAN("206")</f>
        <v>206</v>
      </c>
    </row>
    <row r="191" spans="1:9" x14ac:dyDescent="0.35">
      <c r="A191" s="2" t="str">
        <f t="shared" si="23"/>
        <v>CHIPPEWA</v>
      </c>
      <c r="B191" s="2" t="str">
        <f t="shared" si="24"/>
        <v>CHIPPEWA COUNTY</v>
      </c>
      <c r="C191" s="2" t="s">
        <v>1597</v>
      </c>
      <c r="D191" s="2" t="str">
        <f>CLEAN("8920-00-01")</f>
        <v>8920-00-01</v>
      </c>
      <c r="E191" s="3" t="str">
        <f>CLEAN("T DELMAR  290TH ST")</f>
        <v>T DELMAR  290TH ST</v>
      </c>
      <c r="F191" s="3" t="str">
        <f>CLEAN("LOTZ CREEK BRIDGE P-09-0955")</f>
        <v>LOTZ CREEK BRIDGE P-09-0955</v>
      </c>
      <c r="G191" s="3" t="str">
        <f>CLEAN("DESIGN - FULL PS&amp;E/BRRPL")</f>
        <v>DESIGN - FULL PS&amp;E/BRRPL</v>
      </c>
      <c r="H191" s="2" t="str">
        <f>CLEAN("LOC STR")</f>
        <v>LOC STR</v>
      </c>
      <c r="I191" s="2" t="str">
        <f>CLEAN("205")</f>
        <v>205</v>
      </c>
    </row>
    <row r="192" spans="1:9" x14ac:dyDescent="0.35">
      <c r="A192" s="2" t="str">
        <f t="shared" si="23"/>
        <v>CHIPPEWA</v>
      </c>
      <c r="B192" s="2" t="str">
        <f t="shared" si="24"/>
        <v>CHIPPEWA COUNTY</v>
      </c>
      <c r="C192" s="2" t="s">
        <v>1595</v>
      </c>
      <c r="D192" s="2" t="str">
        <f>CLEAN("8920-03-00")</f>
        <v>8920-03-00</v>
      </c>
      <c r="E192" s="3" t="str">
        <f>CLEAN("STANLEY - BROWNSVILLE")</f>
        <v>STANLEY - BROWNSVILLE</v>
      </c>
      <c r="F192" s="3" t="str">
        <f>CLEAN("LITTLE OTTER CREEK BRIDGE P-09-0052")</f>
        <v>LITTLE OTTER CREEK BRIDGE P-09-0052</v>
      </c>
      <c r="G192" s="3" t="str">
        <f>CLEAN("DESIGN - FULL PS&amp;E/BRRPL")</f>
        <v>DESIGN - FULL PS&amp;E/BRRPL</v>
      </c>
      <c r="H192" s="2" t="str">
        <f>CLEAN("CTH H")</f>
        <v>CTH H</v>
      </c>
      <c r="I192" s="2" t="str">
        <f>CLEAN("205")</f>
        <v>205</v>
      </c>
    </row>
    <row r="193" spans="1:9" x14ac:dyDescent="0.35">
      <c r="A193" s="2" t="str">
        <f>CLEAN("KEWAUNEE")</f>
        <v>KEWAUNEE</v>
      </c>
      <c r="B193" s="2" t="str">
        <f>CLEAN("CITY OF ALGOMA")</f>
        <v>CITY OF ALGOMA</v>
      </c>
      <c r="C193" s="2" t="s">
        <v>2469</v>
      </c>
      <c r="D193" s="2" t="str">
        <f>CLEAN("4130-15-00")</f>
        <v>4130-15-00</v>
      </c>
      <c r="E193" s="3" t="str">
        <f>CLEAN("STH 54  C ALGOMA")</f>
        <v>STH 54  C ALGOMA</v>
      </c>
      <c r="F193" s="3" t="str">
        <f>CLEAN("SUNSET AVE - STH 42")</f>
        <v>SUNSET AVE - STH 42</v>
      </c>
      <c r="G193" s="3" t="str">
        <f>CLEAN("DSN/FULL PSE/PVRPLA")</f>
        <v>DSN/FULL PSE/PVRPLA</v>
      </c>
      <c r="H193" s="2" t="str">
        <f>CLEAN("STH 054")</f>
        <v>STH 054</v>
      </c>
      <c r="I193" s="2" t="str">
        <f>CLEAN("303")</f>
        <v>303</v>
      </c>
    </row>
    <row r="194" spans="1:9" x14ac:dyDescent="0.35">
      <c r="A194" s="2" t="str">
        <f>CLEAN("EAU CLAIRE")</f>
        <v>EAU CLAIRE</v>
      </c>
      <c r="B194" s="2" t="str">
        <f>CLEAN("CITY OF ALTOONA")</f>
        <v>CITY OF ALTOONA</v>
      </c>
      <c r="C194" s="2" t="s">
        <v>3065</v>
      </c>
      <c r="D194" s="2" t="str">
        <f>CLEAN("7995-02-72")</f>
        <v>7995-02-72</v>
      </c>
      <c r="E194" s="3" t="str">
        <f>CLEAN("C EAU CLAIRE  VARIOUS HIGHWAYS")</f>
        <v>C EAU CLAIRE  VARIOUS HIGHWAYS</v>
      </c>
      <c r="F194" s="3" t="str">
        <f>CLEAN("STH 93  312 &amp; USH 12 CURB RAMPS")</f>
        <v>STH 93  312 &amp; USH 12 CURB RAMPS</v>
      </c>
      <c r="G194" s="3" t="str">
        <f>CLEAN("PER WISDOT ADA TRANS PLAN 331 RAMPS")</f>
        <v>PER WISDOT ADA TRANS PLAN 331 RAMPS</v>
      </c>
      <c r="H194" s="2" t="str">
        <f>CLEAN("VAR HWY")</f>
        <v>VAR HWY</v>
      </c>
      <c r="I194" s="2" t="str">
        <f>CLEAN("303")</f>
        <v>303</v>
      </c>
    </row>
    <row r="195" spans="1:9" x14ac:dyDescent="0.35">
      <c r="A195" s="2" t="str">
        <f>CLEAN("POLK")</f>
        <v>POLK</v>
      </c>
      <c r="B195" s="2" t="str">
        <f>CLEAN("CITY OF AMERY")</f>
        <v>CITY OF AMERY</v>
      </c>
      <c r="C195" s="2" t="s">
        <v>1735</v>
      </c>
      <c r="D195" s="2" t="str">
        <f>CLEAN("8412-00-01")</f>
        <v>8412-00-01</v>
      </c>
      <c r="E195" s="3" t="str">
        <f>CLEAN("C AMERY  HILLCREST DRIVE")</f>
        <v>C AMERY  HILLCREST DRIVE</v>
      </c>
      <c r="F195" s="3" t="str">
        <f>CLEAN("OTIS STREET TO MINNEAPOLIS AVENUE S")</f>
        <v>OTIS STREET TO MINNEAPOLIS AVENUE S</v>
      </c>
      <c r="G195" s="3" t="str">
        <f>CLEAN("DESIGN/BIKE &amp; PED TRAIL TAP PROGRAM")</f>
        <v>DESIGN/BIKE &amp; PED TRAIL TAP PROGRAM</v>
      </c>
      <c r="H195" s="2" t="str">
        <f>CLEAN("OFF SYS")</f>
        <v>OFF SYS</v>
      </c>
      <c r="I195" s="2" t="str">
        <f>CLEAN("290")</f>
        <v>290</v>
      </c>
    </row>
    <row r="196" spans="1:9" x14ac:dyDescent="0.35">
      <c r="A196" s="2" t="str">
        <f>CLEAN("POLK")</f>
        <v>POLK</v>
      </c>
      <c r="B196" s="2" t="str">
        <f>CLEAN("CITY OF AMERY")</f>
        <v>CITY OF AMERY</v>
      </c>
      <c r="C196" s="2" t="s">
        <v>1119</v>
      </c>
      <c r="D196" s="2" t="str">
        <f>CLEAN("8412-00-71")</f>
        <v>8412-00-71</v>
      </c>
      <c r="E196" s="3" t="str">
        <f>CLEAN("C AMERY  HILLCREST DRIVE")</f>
        <v>C AMERY  HILLCREST DRIVE</v>
      </c>
      <c r="F196" s="3" t="str">
        <f>CLEAN("OTIS STREET TO MINNEAPOLIS AVENUE S")</f>
        <v>OTIS STREET TO MINNEAPOLIS AVENUE S</v>
      </c>
      <c r="G196" s="3" t="str">
        <f>CLEAN("CONSTR/BIKE &amp; PED TRAIL TAP PROGRAM")</f>
        <v>CONSTR/BIKE &amp; PED TRAIL TAP PROGRAM</v>
      </c>
      <c r="H196" s="2" t="str">
        <f>CLEAN("OFF SYS")</f>
        <v>OFF SYS</v>
      </c>
      <c r="I196" s="2" t="str">
        <f>CLEAN("290")</f>
        <v>290</v>
      </c>
    </row>
    <row r="197" spans="1:9" x14ac:dyDescent="0.35">
      <c r="A197" s="2" t="str">
        <f t="shared" ref="A197:A209" si="29">CLEAN("LANGLADE")</f>
        <v>LANGLADE</v>
      </c>
      <c r="B197" s="2" t="str">
        <f t="shared" ref="B197:B209" si="30">CLEAN("CITY OF ANTIGO")</f>
        <v>CITY OF ANTIGO</v>
      </c>
      <c r="C197" s="2" t="s">
        <v>2032</v>
      </c>
      <c r="D197" s="2" t="str">
        <f>CLEAN("9835-02-01")</f>
        <v>9835-02-01</v>
      </c>
      <c r="E197" s="3" t="str">
        <f>CLEAN("SPRINGBROOK BIKE/PEDESTRIAN TRAIL")</f>
        <v>SPRINGBROOK BIKE/PEDESTRIAN TRAIL</v>
      </c>
      <c r="F197" s="3" t="str">
        <f>CLEAN("CITY OF ANTIGO")</f>
        <v>CITY OF ANTIGO</v>
      </c>
      <c r="G197" s="3" t="str">
        <f>CLEAN("DESIGN/LOCAL LET/TRAIL")</f>
        <v>DESIGN/LOCAL LET/TRAIL</v>
      </c>
      <c r="H197" s="2" t="str">
        <f>CLEAN("NON HWY")</f>
        <v>NON HWY</v>
      </c>
      <c r="I197" s="2" t="str">
        <f>CLEAN("290")</f>
        <v>290</v>
      </c>
    </row>
    <row r="198" spans="1:9" x14ac:dyDescent="0.35">
      <c r="A198" s="2" t="str">
        <f t="shared" si="29"/>
        <v>LANGLADE</v>
      </c>
      <c r="B198" s="2" t="str">
        <f t="shared" si="30"/>
        <v>CITY OF ANTIGO</v>
      </c>
      <c r="C198" s="2" t="s">
        <v>1931</v>
      </c>
      <c r="D198" s="2" t="str">
        <f>CLEAN("9835-03-03")</f>
        <v>9835-03-03</v>
      </c>
      <c r="E198" s="3" t="str">
        <f>CLEAN("C ANTIGO  WESTERN AVENUE")</f>
        <v>C ANTIGO  WESTERN AVENUE</v>
      </c>
      <c r="F198" s="3" t="str">
        <f>CLEAN("CTH Y TO 5TH AVENUE")</f>
        <v>CTH Y TO 5TH AVENUE</v>
      </c>
      <c r="G198" s="3" t="str">
        <f>CLEAN("DESIGN/FULL PSE/RECONDITION")</f>
        <v>DESIGN/FULL PSE/RECONDITION</v>
      </c>
      <c r="H198" s="2" t="str">
        <f>CLEAN("LOC STR")</f>
        <v>LOC STR</v>
      </c>
      <c r="I198" s="2" t="str">
        <f>CLEAN("206")</f>
        <v>206</v>
      </c>
    </row>
    <row r="199" spans="1:9" x14ac:dyDescent="0.35">
      <c r="A199" s="2" t="str">
        <f t="shared" si="29"/>
        <v>LANGLADE</v>
      </c>
      <c r="B199" s="2" t="str">
        <f t="shared" si="30"/>
        <v>CITY OF ANTIGO</v>
      </c>
      <c r="C199" s="2" t="s">
        <v>2013</v>
      </c>
      <c r="D199" s="2" t="str">
        <f>CLEAN("1602-11-02")</f>
        <v>1602-11-02</v>
      </c>
      <c r="E199" s="3" t="str">
        <f>CLEAN("C ANTIGO  SOUTH SUPERIOR STREET")</f>
        <v>C ANTIGO  SOUTH SUPERIOR STREET</v>
      </c>
      <c r="F199" s="3" t="str">
        <f>CLEAN("CTH Y TO SPRING BROOK BRIDGE")</f>
        <v>CTH Y TO SPRING BROOK BRIDGE</v>
      </c>
      <c r="G199" s="3" t="str">
        <f>CLEAN("DESIGN/FULL PSE/RESURFACE")</f>
        <v>DESIGN/FULL PSE/RESURFACE</v>
      </c>
      <c r="H199" s="2" t="str">
        <f>CLEAN("USH 045")</f>
        <v>USH 045</v>
      </c>
      <c r="I199" s="2" t="str">
        <f>CLEAN("303")</f>
        <v>303</v>
      </c>
    </row>
    <row r="200" spans="1:9" x14ac:dyDescent="0.35">
      <c r="A200" s="2" t="str">
        <f t="shared" si="29"/>
        <v>LANGLADE</v>
      </c>
      <c r="B200" s="2" t="str">
        <f t="shared" si="30"/>
        <v>CITY OF ANTIGO</v>
      </c>
      <c r="C200" s="2" t="s">
        <v>2019</v>
      </c>
      <c r="D200" s="2" t="str">
        <f>CLEAN("1602-11-03")</f>
        <v>1602-11-03</v>
      </c>
      <c r="E200" s="3" t="str">
        <f>CLEAN("C ANTIGO  SUPERIOR STREET")</f>
        <v>C ANTIGO  SUPERIOR STREET</v>
      </c>
      <c r="F200" s="3" t="str">
        <f>CLEAN("SPRING BROOK BRIDGE TO RUSCH ROAD")</f>
        <v>SPRING BROOK BRIDGE TO RUSCH ROAD</v>
      </c>
      <c r="G200" s="3" t="str">
        <f>CLEAN("DESIGN/FULL PSE/RESURFACE")</f>
        <v>DESIGN/FULL PSE/RESURFACE</v>
      </c>
      <c r="H200" s="2" t="str">
        <f>CLEAN("USH 045")</f>
        <v>USH 045</v>
      </c>
      <c r="I200" s="2" t="str">
        <f>CLEAN("303")</f>
        <v>303</v>
      </c>
    </row>
    <row r="201" spans="1:9" x14ac:dyDescent="0.35">
      <c r="A201" s="2" t="str">
        <f t="shared" si="29"/>
        <v>LANGLADE</v>
      </c>
      <c r="B201" s="2" t="str">
        <f t="shared" si="30"/>
        <v>CITY OF ANTIGO</v>
      </c>
      <c r="C201" s="2" t="s">
        <v>1887</v>
      </c>
      <c r="D201" s="2" t="str">
        <f>CLEAN("9835-00-01")</f>
        <v>9835-00-01</v>
      </c>
      <c r="E201" s="3" t="str">
        <f>CLEAN("C ANTIGO  4TH AVENUE")</f>
        <v>C ANTIGO  4TH AVENUE</v>
      </c>
      <c r="F201" s="3" t="str">
        <f>CLEAN("SPRINGBROOK CREEK BRIDGE P-34-0701")</f>
        <v>SPRINGBROOK CREEK BRIDGE P-34-0701</v>
      </c>
      <c r="G201" s="3" t="str">
        <f>CLEAN("DESIGN/FULL PS&amp;E/REPLACEMENT")</f>
        <v>DESIGN/FULL PS&amp;E/REPLACEMENT</v>
      </c>
      <c r="H201" s="2" t="str">
        <f>CLEAN("LOC STR")</f>
        <v>LOC STR</v>
      </c>
      <c r="I201" s="2" t="str">
        <f>CLEAN("205")</f>
        <v>205</v>
      </c>
    </row>
    <row r="202" spans="1:9" x14ac:dyDescent="0.35">
      <c r="A202" s="2" t="str">
        <f t="shared" si="29"/>
        <v>LANGLADE</v>
      </c>
      <c r="B202" s="2" t="str">
        <f t="shared" si="30"/>
        <v>CITY OF ANTIGO</v>
      </c>
      <c r="C202" s="2" t="s">
        <v>931</v>
      </c>
      <c r="D202" s="2" t="str">
        <f>CLEAN("9835-00-71")</f>
        <v>9835-00-71</v>
      </c>
      <c r="E202" s="3" t="str">
        <f>CLEAN("C ANTIGO  4TH AVENUE")</f>
        <v>C ANTIGO  4TH AVENUE</v>
      </c>
      <c r="F202" s="3" t="str">
        <f>CLEAN("SPRINGBROOK CREEK BRIDGE B-34-0062")</f>
        <v>SPRINGBROOK CREEK BRIDGE B-34-0062</v>
      </c>
      <c r="G202" s="3" t="str">
        <f>CLEAN("CONST/REPLACEMENT")</f>
        <v>CONST/REPLACEMENT</v>
      </c>
      <c r="H202" s="2" t="str">
        <f>CLEAN("LOC STR")</f>
        <v>LOC STR</v>
      </c>
      <c r="I202" s="2" t="str">
        <f>CLEAN("205")</f>
        <v>205</v>
      </c>
    </row>
    <row r="203" spans="1:9" x14ac:dyDescent="0.35">
      <c r="A203" s="2" t="str">
        <f t="shared" si="29"/>
        <v>LANGLADE</v>
      </c>
      <c r="B203" s="2" t="str">
        <f t="shared" si="30"/>
        <v>CITY OF ANTIGO</v>
      </c>
      <c r="C203" s="2" t="s">
        <v>620</v>
      </c>
      <c r="D203" s="2" t="str">
        <f>CLEAN("9835-02-71")</f>
        <v>9835-02-71</v>
      </c>
      <c r="E203" s="3" t="str">
        <f>CLEAN("SPRINGBROOK BIKE/PEDESTRIAN TRAIL")</f>
        <v>SPRINGBROOK BIKE/PEDESTRIAN TRAIL</v>
      </c>
      <c r="F203" s="3" t="str">
        <f>CLEAN("CITY OF ANTIGO")</f>
        <v>CITY OF ANTIGO</v>
      </c>
      <c r="G203" s="3" t="str">
        <f>CLEAN("CONST/MISC")</f>
        <v>CONST/MISC</v>
      </c>
      <c r="H203" s="2" t="str">
        <f>CLEAN("NON HWY")</f>
        <v>NON HWY</v>
      </c>
      <c r="I203" s="2" t="str">
        <f>CLEAN("290")</f>
        <v>290</v>
      </c>
    </row>
    <row r="204" spans="1:9" x14ac:dyDescent="0.35">
      <c r="A204" s="2" t="str">
        <f t="shared" si="29"/>
        <v>LANGLADE</v>
      </c>
      <c r="B204" s="2" t="str">
        <f t="shared" si="30"/>
        <v>CITY OF ANTIGO</v>
      </c>
      <c r="C204" s="2" t="s">
        <v>2241</v>
      </c>
      <c r="D204" s="2" t="str">
        <f>CLEAN("9835-04-00")</f>
        <v>9835-04-00</v>
      </c>
      <c r="E204" s="3" t="str">
        <f>CLEAN("C ANTIGO  CLERMONT STREET")</f>
        <v>C ANTIGO  CLERMONT STREET</v>
      </c>
      <c r="F204" s="3" t="str">
        <f>CLEAN("10TH AVENUE TO 7TH AVENUE")</f>
        <v>10TH AVENUE TO 7TH AVENUE</v>
      </c>
      <c r="G204" s="3" t="str">
        <f>CLEAN("DESIGN/PVRPLA")</f>
        <v>DESIGN/PVRPLA</v>
      </c>
      <c r="H204" s="2" t="str">
        <f t="shared" ref="H204:H209" si="31">CLEAN("LOC STR")</f>
        <v>LOC STR</v>
      </c>
      <c r="I204" s="2" t="str">
        <f t="shared" ref="I204:I209" si="32">CLEAN("206")</f>
        <v>206</v>
      </c>
    </row>
    <row r="205" spans="1:9" x14ac:dyDescent="0.35">
      <c r="A205" s="2" t="str">
        <f t="shared" si="29"/>
        <v>LANGLADE</v>
      </c>
      <c r="B205" s="2" t="str">
        <f t="shared" si="30"/>
        <v>CITY OF ANTIGO</v>
      </c>
      <c r="C205" s="2" t="s">
        <v>709</v>
      </c>
      <c r="D205" s="2" t="str">
        <f>CLEAN("9835-04-70")</f>
        <v>9835-04-70</v>
      </c>
      <c r="E205" s="3" t="str">
        <f>CLEAN("C ANTIGO  CLERMONT STREET")</f>
        <v>C ANTIGO  CLERMONT STREET</v>
      </c>
      <c r="F205" s="3" t="str">
        <f>CLEAN("10TH AVENUE TO 7TH AVENUE")</f>
        <v>10TH AVENUE TO 7TH AVENUE</v>
      </c>
      <c r="G205" s="3" t="str">
        <f>CLEAN("CONST/PVRPLA")</f>
        <v>CONST/PVRPLA</v>
      </c>
      <c r="H205" s="2" t="str">
        <f t="shared" si="31"/>
        <v>LOC STR</v>
      </c>
      <c r="I205" s="2" t="str">
        <f t="shared" si="32"/>
        <v>206</v>
      </c>
    </row>
    <row r="206" spans="1:9" x14ac:dyDescent="0.35">
      <c r="A206" s="2" t="str">
        <f t="shared" si="29"/>
        <v>LANGLADE</v>
      </c>
      <c r="B206" s="2" t="str">
        <f t="shared" si="30"/>
        <v>CITY OF ANTIGO</v>
      </c>
      <c r="C206" s="2" t="s">
        <v>1884</v>
      </c>
      <c r="D206" s="2" t="str">
        <f>CLEAN("9835-05-00")</f>
        <v>9835-05-00</v>
      </c>
      <c r="E206" s="3" t="str">
        <f>CLEAN("C ANTIGO  7TH AVENUE")</f>
        <v>C ANTIGO  7TH AVENUE</v>
      </c>
      <c r="F206" s="3" t="str">
        <f>CLEAN("DORR STREET TO CLERMONT STREET")</f>
        <v>DORR STREET TO CLERMONT STREET</v>
      </c>
      <c r="G206" s="3" t="str">
        <f>CLEAN("DESIGN/FULL PS&amp;E/PVRPLA")</f>
        <v>DESIGN/FULL PS&amp;E/PVRPLA</v>
      </c>
      <c r="H206" s="2" t="str">
        <f t="shared" si="31"/>
        <v>LOC STR</v>
      </c>
      <c r="I206" s="2" t="str">
        <f t="shared" si="32"/>
        <v>206</v>
      </c>
    </row>
    <row r="207" spans="1:9" x14ac:dyDescent="0.35">
      <c r="A207" s="2" t="str">
        <f t="shared" si="29"/>
        <v>LANGLADE</v>
      </c>
      <c r="B207" s="2" t="str">
        <f t="shared" si="30"/>
        <v>CITY OF ANTIGO</v>
      </c>
      <c r="C207" s="2" t="s">
        <v>718</v>
      </c>
      <c r="D207" s="2" t="str">
        <f>CLEAN("9835-05-70")</f>
        <v>9835-05-70</v>
      </c>
      <c r="E207" s="3" t="str">
        <f>CLEAN("C ANTIGO  7TH AVENUE")</f>
        <v>C ANTIGO  7TH AVENUE</v>
      </c>
      <c r="F207" s="3" t="str">
        <f>CLEAN("DORR STREET TO CLERMONT STREET")</f>
        <v>DORR STREET TO CLERMONT STREET</v>
      </c>
      <c r="G207" s="3" t="str">
        <f>CLEAN("CONST/PVRPLA")</f>
        <v>CONST/PVRPLA</v>
      </c>
      <c r="H207" s="2" t="str">
        <f t="shared" si="31"/>
        <v>LOC STR</v>
      </c>
      <c r="I207" s="2" t="str">
        <f t="shared" si="32"/>
        <v>206</v>
      </c>
    </row>
    <row r="208" spans="1:9" x14ac:dyDescent="0.35">
      <c r="A208" s="2" t="str">
        <f t="shared" si="29"/>
        <v>LANGLADE</v>
      </c>
      <c r="B208" s="2" t="str">
        <f t="shared" si="30"/>
        <v>CITY OF ANTIGO</v>
      </c>
      <c r="C208" s="2" t="s">
        <v>1926</v>
      </c>
      <c r="D208" s="2" t="str">
        <f>CLEAN("9835-06-00")</f>
        <v>9835-06-00</v>
      </c>
      <c r="E208" s="3" t="str">
        <f>CLEAN("C ANTIGO  10TH AVENUE")</f>
        <v>C ANTIGO  10TH AVENUE</v>
      </c>
      <c r="F208" s="3" t="str">
        <f>CLEAN("WESTERN AVENUE TO CLERMONT STREET")</f>
        <v>WESTERN AVENUE TO CLERMONT STREET</v>
      </c>
      <c r="G208" s="3" t="str">
        <f>CLEAN("DESIGN/FULL PSE/PVRPLA")</f>
        <v>DESIGN/FULL PSE/PVRPLA</v>
      </c>
      <c r="H208" s="2" t="str">
        <f t="shared" si="31"/>
        <v>LOC STR</v>
      </c>
      <c r="I208" s="2" t="str">
        <f t="shared" si="32"/>
        <v>206</v>
      </c>
    </row>
    <row r="209" spans="1:9" x14ac:dyDescent="0.35">
      <c r="A209" s="2" t="str">
        <f t="shared" si="29"/>
        <v>LANGLADE</v>
      </c>
      <c r="B209" s="2" t="str">
        <f t="shared" si="30"/>
        <v>CITY OF ANTIGO</v>
      </c>
      <c r="C209" s="2" t="s">
        <v>672</v>
      </c>
      <c r="D209" s="2" t="str">
        <f>CLEAN("9835-06-70")</f>
        <v>9835-06-70</v>
      </c>
      <c r="E209" s="3" t="str">
        <f>CLEAN("C ANTIGO  10TH AVENUE")</f>
        <v>C ANTIGO  10TH AVENUE</v>
      </c>
      <c r="F209" s="3" t="str">
        <f>CLEAN("WESTERN AVENUE TO CLERMONT STREET")</f>
        <v>WESTERN AVENUE TO CLERMONT STREET</v>
      </c>
      <c r="G209" s="3" t="str">
        <f>CLEAN("CONST/PAVEMENT REPLACEMENT")</f>
        <v>CONST/PAVEMENT REPLACEMENT</v>
      </c>
      <c r="H209" s="2" t="str">
        <f t="shared" si="31"/>
        <v>LOC STR</v>
      </c>
      <c r="I209" s="2" t="str">
        <f t="shared" si="32"/>
        <v>206</v>
      </c>
    </row>
    <row r="210" spans="1:9" x14ac:dyDescent="0.35">
      <c r="A210" s="2" t="str">
        <f t="shared" ref="A210:A225" si="33">CLEAN("OUTAGAMIE")</f>
        <v>OUTAGAMIE</v>
      </c>
      <c r="B210" s="2" t="str">
        <f t="shared" ref="B210:B225" si="34">CLEAN("CITY OF APPLETON")</f>
        <v>CITY OF APPLETON</v>
      </c>
      <c r="C210" s="2" t="s">
        <v>867</v>
      </c>
      <c r="D210" s="2" t="str">
        <f>CLEAN("1130-64-77")</f>
        <v>1130-64-77</v>
      </c>
      <c r="E210" s="3" t="str">
        <f t="shared" ref="E210:E216" si="35">CLEAN("APPLETON - DE PERE")</f>
        <v>APPLETON - DE PERE</v>
      </c>
      <c r="F210" s="3" t="str">
        <f>CLEAN("RICHMOND ST (WIS 47) INTCHG")</f>
        <v>RICHMOND ST (WIS 47) INTCHG</v>
      </c>
      <c r="G210" s="3" t="str">
        <f>CLEAN("CONST/RECSTE STH 47 INTCHG")</f>
        <v>CONST/RECSTE STH 47 INTCHG</v>
      </c>
      <c r="H210" s="2" t="str">
        <f>CLEAN("STH 047")</f>
        <v>STH 047</v>
      </c>
      <c r="I210" s="2" t="str">
        <f t="shared" ref="I210:I216" si="36">CLEAN("302")</f>
        <v>302</v>
      </c>
    </row>
    <row r="211" spans="1:9" x14ac:dyDescent="0.35">
      <c r="A211" s="2" t="str">
        <f t="shared" si="33"/>
        <v>OUTAGAMIE</v>
      </c>
      <c r="B211" s="2" t="str">
        <f t="shared" si="34"/>
        <v>CITY OF APPLETON</v>
      </c>
      <c r="C211" s="2" t="s">
        <v>851</v>
      </c>
      <c r="D211" s="2" t="str">
        <f>CLEAN("1130-65-71")</f>
        <v>1130-65-71</v>
      </c>
      <c r="E211" s="3" t="str">
        <f t="shared" si="35"/>
        <v>APPLETON - DE PERE</v>
      </c>
      <c r="F211" s="3" t="str">
        <f>CLEAN("I-41 MAINLINE  MEADE ST-BALLARD RD")</f>
        <v>I-41 MAINLINE  MEADE ST-BALLARD RD</v>
      </c>
      <c r="G211" s="3" t="str">
        <f>CLEAN("CONST/RECSTE MAINLINE MEADE-BALLARD")</f>
        <v>CONST/RECSTE MAINLINE MEADE-BALLARD</v>
      </c>
      <c r="H211" s="2" t="str">
        <f>CLEAN("IH  041")</f>
        <v>IH  041</v>
      </c>
      <c r="I211" s="2" t="str">
        <f t="shared" si="36"/>
        <v>302</v>
      </c>
    </row>
    <row r="212" spans="1:9" x14ac:dyDescent="0.35">
      <c r="A212" s="2" t="str">
        <f t="shared" si="33"/>
        <v>OUTAGAMIE</v>
      </c>
      <c r="B212" s="2" t="str">
        <f t="shared" si="34"/>
        <v>CITY OF APPLETON</v>
      </c>
      <c r="C212" s="2" t="s">
        <v>854</v>
      </c>
      <c r="D212" s="2" t="str">
        <f>CLEAN("1130-65-72")</f>
        <v>1130-65-72</v>
      </c>
      <c r="E212" s="3" t="str">
        <f t="shared" si="35"/>
        <v>APPLETON - DE PERE</v>
      </c>
      <c r="F212" s="3" t="str">
        <f>CLEAN("I-41 MAINLINE  BALLARD RD-FRENCH RD")</f>
        <v>I-41 MAINLINE  BALLARD RD-FRENCH RD</v>
      </c>
      <c r="G212" s="3" t="str">
        <f>CLEAN("CONST/RECSTE MNLINE  BALLARD-FRENCH")</f>
        <v>CONST/RECSTE MNLINE  BALLARD-FRENCH</v>
      </c>
      <c r="H212" s="2" t="str">
        <f>CLEAN("IH  041")</f>
        <v>IH  041</v>
      </c>
      <c r="I212" s="2" t="str">
        <f t="shared" si="36"/>
        <v>302</v>
      </c>
    </row>
    <row r="213" spans="1:9" x14ac:dyDescent="0.35">
      <c r="A213" s="2" t="str">
        <f t="shared" si="33"/>
        <v>OUTAGAMIE</v>
      </c>
      <c r="B213" s="2" t="str">
        <f t="shared" si="34"/>
        <v>CITY OF APPLETON</v>
      </c>
      <c r="C213" s="2" t="s">
        <v>857</v>
      </c>
      <c r="D213" s="2" t="str">
        <f>CLEAN("1130-65-74")</f>
        <v>1130-65-74</v>
      </c>
      <c r="E213" s="3" t="str">
        <f t="shared" si="35"/>
        <v>APPLETON - DE PERE</v>
      </c>
      <c r="F213" s="3" t="str">
        <f>CLEAN("STH 441 MAINLINE  NORTHLAND - I-41")</f>
        <v>STH 441 MAINLINE  NORTHLAND - I-41</v>
      </c>
      <c r="G213" s="3" t="str">
        <f>CLEAN("CONST/RECSTE MNLINE NORTHLAND-I-41")</f>
        <v>CONST/RECSTE MNLINE NORTHLAND-I-41</v>
      </c>
      <c r="H213" s="2" t="str">
        <f>CLEAN("STH 441")</f>
        <v>STH 441</v>
      </c>
      <c r="I213" s="2" t="str">
        <f t="shared" si="36"/>
        <v>302</v>
      </c>
    </row>
    <row r="214" spans="1:9" x14ac:dyDescent="0.35">
      <c r="A214" s="2" t="str">
        <f t="shared" si="33"/>
        <v>OUTAGAMIE</v>
      </c>
      <c r="B214" s="2" t="str">
        <f t="shared" si="34"/>
        <v>CITY OF APPLETON</v>
      </c>
      <c r="C214" s="2" t="s">
        <v>289</v>
      </c>
      <c r="D214" s="2" t="str">
        <f>CLEAN("1130-65-76")</f>
        <v>1130-65-76</v>
      </c>
      <c r="E214" s="3" t="str">
        <f t="shared" si="35"/>
        <v>APPLETON - DE PERE</v>
      </c>
      <c r="F214" s="3" t="str">
        <f>CLEAN("BALLARD RD (CTH E) INTCHG")</f>
        <v>BALLARD RD (CTH E) INTCHG</v>
      </c>
      <c r="G214" s="3" t="str">
        <f>CLEAN("CONST OPS/RECSTE CTH E INTCHG")</f>
        <v>CONST OPS/RECSTE CTH E INTCHG</v>
      </c>
      <c r="H214" s="2" t="str">
        <f>CLEAN("IH  041")</f>
        <v>IH  041</v>
      </c>
      <c r="I214" s="2" t="str">
        <f t="shared" si="36"/>
        <v>302</v>
      </c>
    </row>
    <row r="215" spans="1:9" x14ac:dyDescent="0.35">
      <c r="A215" s="2" t="str">
        <f t="shared" si="33"/>
        <v>OUTAGAMIE</v>
      </c>
      <c r="B215" s="2" t="str">
        <f t="shared" si="34"/>
        <v>CITY OF APPLETON</v>
      </c>
      <c r="C215" s="2" t="s">
        <v>866</v>
      </c>
      <c r="D215" s="2" t="str">
        <f>CLEAN("1130-65-78")</f>
        <v>1130-65-78</v>
      </c>
      <c r="E215" s="3" t="str">
        <f t="shared" si="35"/>
        <v>APPLETON - DE PERE</v>
      </c>
      <c r="F215" s="3" t="str">
        <f>CLEAN("STH 441 INTCHG FILL &amp; STRUCTURES")</f>
        <v>STH 441 INTCHG FILL &amp; STRUCTURES</v>
      </c>
      <c r="G215" s="3" t="str">
        <f>CLEAN("CONST/RECSTE STH 441 INTCHG")</f>
        <v>CONST/RECSTE STH 441 INTCHG</v>
      </c>
      <c r="H215" s="2" t="str">
        <f>CLEAN("STH 441")</f>
        <v>STH 441</v>
      </c>
      <c r="I215" s="2" t="str">
        <f t="shared" si="36"/>
        <v>302</v>
      </c>
    </row>
    <row r="216" spans="1:9" x14ac:dyDescent="0.35">
      <c r="A216" s="2" t="str">
        <f t="shared" si="33"/>
        <v>OUTAGAMIE</v>
      </c>
      <c r="B216" s="2" t="str">
        <f t="shared" si="34"/>
        <v>CITY OF APPLETON</v>
      </c>
      <c r="C216" s="2" t="s">
        <v>847</v>
      </c>
      <c r="D216" s="2" t="str">
        <f>CLEAN("1130-65-81")</f>
        <v>1130-65-81</v>
      </c>
      <c r="E216" s="3" t="str">
        <f t="shared" si="35"/>
        <v>APPLETON - DE PERE</v>
      </c>
      <c r="F216" s="3" t="str">
        <f>CLEAN("FRENCH RD OVERPASS")</f>
        <v>FRENCH RD OVERPASS</v>
      </c>
      <c r="G216" s="3" t="str">
        <f>CLEAN("CONST/RECSTE FRENCH RD OVERPASS")</f>
        <v>CONST/RECSTE FRENCH RD OVERPASS</v>
      </c>
      <c r="H216" s="2" t="str">
        <f>CLEAN("IH  041")</f>
        <v>IH  041</v>
      </c>
      <c r="I216" s="2" t="str">
        <f t="shared" si="36"/>
        <v>302</v>
      </c>
    </row>
    <row r="217" spans="1:9" x14ac:dyDescent="0.35">
      <c r="A217" s="2" t="str">
        <f t="shared" si="33"/>
        <v>OUTAGAMIE</v>
      </c>
      <c r="B217" s="2" t="str">
        <f t="shared" si="34"/>
        <v>CITY OF APPLETON</v>
      </c>
      <c r="C217" s="2" t="s">
        <v>3354</v>
      </c>
      <c r="D217" s="2" t="str">
        <f>CLEAN("3700-30-62")</f>
        <v>3700-30-62</v>
      </c>
      <c r="E217" s="3" t="str">
        <f>CLEAN("C APPLETON  SIGNAL RETROFIT")</f>
        <v>C APPLETON  SIGNAL RETROFIT</v>
      </c>
      <c r="F217" s="3" t="str">
        <f>CLEAN("STH 47  96  125")</f>
        <v>STH 47  96  125</v>
      </c>
      <c r="G217" s="3" t="str">
        <f>CLEAN("TRAFFIC OPS/TOSIG")</f>
        <v>TRAFFIC OPS/TOSIG</v>
      </c>
      <c r="H217" s="2" t="str">
        <f>CLEAN("STH 096")</f>
        <v>STH 096</v>
      </c>
      <c r="I217" s="2" t="str">
        <f>CLEAN("305")</f>
        <v>305</v>
      </c>
    </row>
    <row r="218" spans="1:9" x14ac:dyDescent="0.35">
      <c r="A218" s="2" t="str">
        <f t="shared" si="33"/>
        <v>OUTAGAMIE</v>
      </c>
      <c r="B218" s="2" t="str">
        <f t="shared" si="34"/>
        <v>CITY OF APPLETON</v>
      </c>
      <c r="C218" s="2" t="s">
        <v>3382</v>
      </c>
      <c r="D218" s="2" t="str">
        <f>CLEAN("3700-30-71")</f>
        <v>3700-30-71</v>
      </c>
      <c r="E218" s="3" t="str">
        <f>CLEAN("C APPLETON  SIGNAL RETROFIT")</f>
        <v>C APPLETON  SIGNAL RETROFIT</v>
      </c>
      <c r="F218" s="3" t="str">
        <f>CLEAN("STH 47 &amp; RIDGEVEW SIGNAL REHAB")</f>
        <v>STH 47 &amp; RIDGEVEW SIGNAL REHAB</v>
      </c>
      <c r="G218" s="3" t="str">
        <f>CLEAN("TRF OPS/TOSIG")</f>
        <v>TRF OPS/TOSIG</v>
      </c>
      <c r="H218" s="2" t="str">
        <f>CLEAN("STH 047")</f>
        <v>STH 047</v>
      </c>
      <c r="I218" s="2" t="str">
        <f>CLEAN("305")</f>
        <v>305</v>
      </c>
    </row>
    <row r="219" spans="1:9" x14ac:dyDescent="0.35">
      <c r="A219" s="2" t="str">
        <f t="shared" si="33"/>
        <v>OUTAGAMIE</v>
      </c>
      <c r="B219" s="2" t="str">
        <f t="shared" si="34"/>
        <v>CITY OF APPLETON</v>
      </c>
      <c r="C219" s="2" t="s">
        <v>355</v>
      </c>
      <c r="D219" s="2" t="str">
        <f>CLEAN("4685-29-60")</f>
        <v>4685-29-60</v>
      </c>
      <c r="E219" s="3" t="str">
        <f>CLEAN("APPLETON  STH 441")</f>
        <v>APPLETON  STH 441</v>
      </c>
      <c r="F219" s="3" t="str">
        <f>CLEAN("USH 10-NORTH JUNCTION IH 41")</f>
        <v>USH 10-NORTH JUNCTION IH 41</v>
      </c>
      <c r="G219" s="3" t="str">
        <f>CLEAN("CONST/ RDMTN-PATCH JOINTS/PAVEMENT")</f>
        <v>CONST/ RDMTN-PATCH JOINTS/PAVEMENT</v>
      </c>
      <c r="H219" s="2" t="str">
        <f>CLEAN("STH 441")</f>
        <v>STH 441</v>
      </c>
      <c r="I219" s="2" t="str">
        <f>CLEAN("303")</f>
        <v>303</v>
      </c>
    </row>
    <row r="220" spans="1:9" x14ac:dyDescent="0.35">
      <c r="A220" s="2" t="str">
        <f t="shared" si="33"/>
        <v>OUTAGAMIE</v>
      </c>
      <c r="B220" s="2" t="str">
        <f t="shared" si="34"/>
        <v>CITY OF APPLETON</v>
      </c>
      <c r="C220" s="2" t="s">
        <v>2342</v>
      </c>
      <c r="D220" s="2" t="str">
        <f>CLEAN("4984-01-78")</f>
        <v>4984-01-78</v>
      </c>
      <c r="E220" s="3" t="str">
        <f>CLEAN("C APPLETON  OLDE ONEIDA STREET")</f>
        <v>C APPLETON  OLDE ONEIDA STREET</v>
      </c>
      <c r="F220" s="3" t="str">
        <f>CLEAN("SOUTH MILL RACE BRIDGE")</f>
        <v>SOUTH MILL RACE BRIDGE</v>
      </c>
      <c r="G220" s="3" t="str">
        <f>CLEAN("DSGN/BRRPL")</f>
        <v>DSGN/BRRPL</v>
      </c>
      <c r="H220" s="2" t="str">
        <f t="shared" ref="H220:H225" si="37">CLEAN("LOC STR")</f>
        <v>LOC STR</v>
      </c>
      <c r="I220" s="2" t="str">
        <f>CLEAN("205")</f>
        <v>205</v>
      </c>
    </row>
    <row r="221" spans="1:9" x14ac:dyDescent="0.35">
      <c r="A221" s="2" t="str">
        <f t="shared" si="33"/>
        <v>OUTAGAMIE</v>
      </c>
      <c r="B221" s="2" t="str">
        <f t="shared" si="34"/>
        <v>CITY OF APPLETON</v>
      </c>
      <c r="C221" s="2" t="s">
        <v>153</v>
      </c>
      <c r="D221" s="2" t="str">
        <f>CLEAN("4984-01-79")</f>
        <v>4984-01-79</v>
      </c>
      <c r="E221" s="3" t="str">
        <f>CLEAN("C APPLETON  OLDE ONEIDA STREET")</f>
        <v>C APPLETON  OLDE ONEIDA STREET</v>
      </c>
      <c r="F221" s="3" t="str">
        <f>CLEAN("SOUTH MILL RACE BRIDGE")</f>
        <v>SOUTH MILL RACE BRIDGE</v>
      </c>
      <c r="G221" s="3" t="str">
        <f>CLEAN("CONST OPS/BRRPL B440502")</f>
        <v>CONST OPS/BRRPL B440502</v>
      </c>
      <c r="H221" s="2" t="str">
        <f t="shared" si="37"/>
        <v>LOC STR</v>
      </c>
      <c r="I221" s="2" t="str">
        <f>CLEAN("205")</f>
        <v>205</v>
      </c>
    </row>
    <row r="222" spans="1:9" x14ac:dyDescent="0.35">
      <c r="A222" s="2" t="str">
        <f t="shared" si="33"/>
        <v>OUTAGAMIE</v>
      </c>
      <c r="B222" s="2" t="str">
        <f t="shared" si="34"/>
        <v>CITY OF APPLETON</v>
      </c>
      <c r="C222" s="2" t="s">
        <v>3272</v>
      </c>
      <c r="D222" s="2" t="str">
        <f>CLEAN("4984-24-50")</f>
        <v>4984-24-50</v>
      </c>
      <c r="E222" s="3" t="str">
        <f>CLEAN("C APPLETON  LAWE STREET")</f>
        <v>C APPLETON  LAWE STREET</v>
      </c>
      <c r="F222" s="3" t="str">
        <f>CLEAN("179953M CN RR XING SURFACE")</f>
        <v>179953M CN RR XING SURFACE</v>
      </c>
      <c r="G222" s="3" t="str">
        <f>CLEAN("RR OPS/SIDEWALK XING SURFACE")</f>
        <v>RR OPS/SIDEWALK XING SURFACE</v>
      </c>
      <c r="H222" s="2" t="str">
        <f t="shared" si="37"/>
        <v>LOC STR</v>
      </c>
      <c r="I222" s="2" t="str">
        <f>CLEAN("206")</f>
        <v>206</v>
      </c>
    </row>
    <row r="223" spans="1:9" x14ac:dyDescent="0.35">
      <c r="A223" s="2" t="str">
        <f t="shared" si="33"/>
        <v>OUTAGAMIE</v>
      </c>
      <c r="B223" s="2" t="str">
        <f t="shared" si="34"/>
        <v>CITY OF APPLETON</v>
      </c>
      <c r="C223" s="2" t="s">
        <v>2475</v>
      </c>
      <c r="D223" s="2" t="str">
        <f>CLEAN("4984-24-74")</f>
        <v>4984-24-74</v>
      </c>
      <c r="E223" s="3" t="str">
        <f>CLEAN("C APPLETON  LAWE STREET")</f>
        <v>C APPLETON  LAWE STREET</v>
      </c>
      <c r="F223" s="3" t="str">
        <f>CLEAN("COLLEGE AVENUE TO WISCONSIN AVENUE")</f>
        <v>COLLEGE AVENUE TO WISCONSIN AVENUE</v>
      </c>
      <c r="G223" s="3" t="str">
        <f>CLEAN("DSN/FULL PSE/RECST")</f>
        <v>DSN/FULL PSE/RECST</v>
      </c>
      <c r="H223" s="2" t="str">
        <f t="shared" si="37"/>
        <v>LOC STR</v>
      </c>
      <c r="I223" s="2" t="str">
        <f>CLEAN("206")</f>
        <v>206</v>
      </c>
    </row>
    <row r="224" spans="1:9" x14ac:dyDescent="0.35">
      <c r="A224" s="2" t="str">
        <f t="shared" si="33"/>
        <v>OUTAGAMIE</v>
      </c>
      <c r="B224" s="2" t="str">
        <f t="shared" si="34"/>
        <v>CITY OF APPLETON</v>
      </c>
      <c r="C224" s="2" t="s">
        <v>271</v>
      </c>
      <c r="D224" s="2" t="str">
        <f>CLEAN("4984-24-75")</f>
        <v>4984-24-75</v>
      </c>
      <c r="E224" s="3" t="str">
        <f>CLEAN("C APPLETON  LAWE STREET")</f>
        <v>C APPLETON  LAWE STREET</v>
      </c>
      <c r="F224" s="3" t="str">
        <f>CLEAN("COLLEGE AVENUE TO WISCONSIN AVENUE")</f>
        <v>COLLEGE AVENUE TO WISCONSIN AVENUE</v>
      </c>
      <c r="G224" s="3" t="str">
        <f>CLEAN("CONST OPS/RECST")</f>
        <v>CONST OPS/RECST</v>
      </c>
      <c r="H224" s="2" t="str">
        <f t="shared" si="37"/>
        <v>LOC STR</v>
      </c>
      <c r="I224" s="2" t="str">
        <f>CLEAN("206")</f>
        <v>206</v>
      </c>
    </row>
    <row r="225" spans="1:9" x14ac:dyDescent="0.35">
      <c r="A225" s="2" t="str">
        <f t="shared" si="33"/>
        <v>OUTAGAMIE</v>
      </c>
      <c r="B225" s="2" t="str">
        <f t="shared" si="34"/>
        <v>CITY OF APPLETON</v>
      </c>
      <c r="C225" s="2" t="s">
        <v>2352</v>
      </c>
      <c r="D225" s="2" t="str">
        <f>CLEAN("4984-24-76")</f>
        <v>4984-24-76</v>
      </c>
      <c r="E225" s="3" t="str">
        <f>CLEAN("C APPLETON  LAWE STREET")</f>
        <v>C APPLETON  LAWE STREET</v>
      </c>
      <c r="F225" s="3" t="str">
        <f>CLEAN("NAVIGATIONAL CANAL BRIDGE REHAB")</f>
        <v>NAVIGATIONAL CANAL BRIDGE REHAB</v>
      </c>
      <c r="G225" s="3" t="str">
        <f>CLEAN("DSGN/FULL PSE/BRRHB/P440719")</f>
        <v>DSGN/FULL PSE/BRRHB/P440719</v>
      </c>
      <c r="H225" s="2" t="str">
        <f t="shared" si="37"/>
        <v>LOC STR</v>
      </c>
      <c r="I225" s="2" t="str">
        <f>CLEAN("205")</f>
        <v>205</v>
      </c>
    </row>
    <row r="226" spans="1:9" x14ac:dyDescent="0.35">
      <c r="A226" s="2" t="str">
        <f>CLEAN("TREMPEALEAU")</f>
        <v>TREMPEALEAU</v>
      </c>
      <c r="B226" s="2" t="str">
        <f>CLEAN("CITY OF ARCADIA")</f>
        <v>CITY OF ARCADIA</v>
      </c>
      <c r="C226" s="2" t="s">
        <v>2269</v>
      </c>
      <c r="D226" s="2" t="str">
        <f>CLEAN("7720-00-01")</f>
        <v>7720-00-01</v>
      </c>
      <c r="E226" s="3" t="str">
        <f>CLEAN("C ARCADIA  MAIN STREET")</f>
        <v>C ARCADIA  MAIN STREET</v>
      </c>
      <c r="F226" s="3" t="str">
        <f>CLEAN("CTH A TO 250' W OF STH 93")</f>
        <v>CTH A TO 250' W OF STH 93</v>
      </c>
      <c r="G226" s="3" t="str">
        <f>CLEAN("DESIGN/RESURFACE")</f>
        <v>DESIGN/RESURFACE</v>
      </c>
      <c r="H226" s="2" t="str">
        <f>CLEAN("STH 095")</f>
        <v>STH 095</v>
      </c>
      <c r="I226" s="2" t="str">
        <f t="shared" ref="I226:I232" si="38">CLEAN("303")</f>
        <v>303</v>
      </c>
    </row>
    <row r="227" spans="1:9" x14ac:dyDescent="0.35">
      <c r="A227" s="2" t="str">
        <f>CLEAN("TREMPEALEAU")</f>
        <v>TREMPEALEAU</v>
      </c>
      <c r="B227" s="2" t="str">
        <f>CLEAN("CITY OF ARCADIA")</f>
        <v>CITY OF ARCADIA</v>
      </c>
      <c r="C227" s="2" t="s">
        <v>1283</v>
      </c>
      <c r="D227" s="2" t="str">
        <f>CLEAN("7720-00-81")</f>
        <v>7720-00-81</v>
      </c>
      <c r="E227" s="3" t="str">
        <f>CLEAN("C ARCADIA  MAIN STREET")</f>
        <v>C ARCADIA  MAIN STREET</v>
      </c>
      <c r="F227" s="3" t="str">
        <f>CLEAN("CTH A TO 250' W OF STH 93")</f>
        <v>CTH A TO 250' W OF STH 93</v>
      </c>
      <c r="G227" s="3" t="str">
        <f>CLEAN("CONSTRUCTION/CITY UTILITIES")</f>
        <v>CONSTRUCTION/CITY UTILITIES</v>
      </c>
      <c r="H227" s="2" t="str">
        <f>CLEAN("STH 095")</f>
        <v>STH 095</v>
      </c>
      <c r="I227" s="2" t="str">
        <f t="shared" si="38"/>
        <v>303</v>
      </c>
    </row>
    <row r="228" spans="1:9" x14ac:dyDescent="0.35">
      <c r="A228" s="2" t="str">
        <f t="shared" ref="A228:A245" si="39">CLEAN("ASHLAND")</f>
        <v>ASHLAND</v>
      </c>
      <c r="B228" s="2" t="str">
        <f t="shared" ref="B228:B245" si="40">CLEAN("CITY OF ASHLAND")</f>
        <v>CITY OF ASHLAND</v>
      </c>
      <c r="C228" s="2" t="s">
        <v>2039</v>
      </c>
      <c r="D228" s="2" t="str">
        <f>CLEAN("1180-01-01")</f>
        <v>1180-01-01</v>
      </c>
      <c r="E228" s="3" t="str">
        <f>CLEAN("C ASHLAND  LAKE SHORE DRIVE")</f>
        <v>C ASHLAND  LAKE SHORE DRIVE</v>
      </c>
      <c r="F228" s="3" t="str">
        <f>CLEAN("140FT E BEASER AVE TO STUNTZ AVE")</f>
        <v>140FT E BEASER AVE TO STUNTZ AVE</v>
      </c>
      <c r="G228" s="3" t="str">
        <f>CLEAN("DESIGN/PAVEMENT REPLACEMENT")</f>
        <v>DESIGN/PAVEMENT REPLACEMENT</v>
      </c>
      <c r="H228" s="2" t="str">
        <f>CLEAN("USH 002")</f>
        <v>USH 002</v>
      </c>
      <c r="I228" s="2" t="str">
        <f t="shared" si="38"/>
        <v>303</v>
      </c>
    </row>
    <row r="229" spans="1:9" x14ac:dyDescent="0.35">
      <c r="A229" s="2" t="str">
        <f t="shared" si="39"/>
        <v>ASHLAND</v>
      </c>
      <c r="B229" s="2" t="str">
        <f t="shared" si="40"/>
        <v>CITY OF ASHLAND</v>
      </c>
      <c r="C229" s="2" t="s">
        <v>1671</v>
      </c>
      <c r="D229" s="2" t="str">
        <f>CLEAN("1180-01-04")</f>
        <v>1180-01-04</v>
      </c>
      <c r="E229" s="3" t="str">
        <f>CLEAN("C ASHLAND  USH 2")</f>
        <v>C ASHLAND  USH 2</v>
      </c>
      <c r="F229" s="3" t="str">
        <f>CLEAN("STUNTZ AVE TO 36TH AVE E")</f>
        <v>STUNTZ AVE TO 36TH AVE E</v>
      </c>
      <c r="G229" s="3" t="str">
        <f>CLEAN("DESIGN - FULL PS&amp;E/RESURFACE")</f>
        <v>DESIGN - FULL PS&amp;E/RESURFACE</v>
      </c>
      <c r="H229" s="2" t="str">
        <f>CLEAN("USH 002")</f>
        <v>USH 002</v>
      </c>
      <c r="I229" s="2" t="str">
        <f t="shared" si="38"/>
        <v>303</v>
      </c>
    </row>
    <row r="230" spans="1:9" x14ac:dyDescent="0.35">
      <c r="A230" s="2" t="str">
        <f t="shared" si="39"/>
        <v>ASHLAND</v>
      </c>
      <c r="B230" s="2" t="str">
        <f t="shared" si="40"/>
        <v>CITY OF ASHLAND</v>
      </c>
      <c r="C230" s="2" t="s">
        <v>2268</v>
      </c>
      <c r="D230" s="2" t="str">
        <f>CLEAN("1610-00-07")</f>
        <v>1610-00-07</v>
      </c>
      <c r="E230" s="3" t="str">
        <f>CLEAN("MELLEN - ASHLAND")</f>
        <v>MELLEN - ASHLAND</v>
      </c>
      <c r="F230" s="3" t="str">
        <f>CLEAN("BUTTERWORTH RD TO USH 2")</f>
        <v>BUTTERWORTH RD TO USH 2</v>
      </c>
      <c r="G230" s="3" t="str">
        <f>CLEAN("DESIGN/RESURFACE")</f>
        <v>DESIGN/RESURFACE</v>
      </c>
      <c r="H230" s="2" t="str">
        <f>CLEAN("STH 013")</f>
        <v>STH 013</v>
      </c>
      <c r="I230" s="2" t="str">
        <f t="shared" si="38"/>
        <v>303</v>
      </c>
    </row>
    <row r="231" spans="1:9" x14ac:dyDescent="0.35">
      <c r="A231" s="2" t="str">
        <f t="shared" si="39"/>
        <v>ASHLAND</v>
      </c>
      <c r="B231" s="2" t="str">
        <f t="shared" si="40"/>
        <v>CITY OF ASHLAND</v>
      </c>
      <c r="C231" s="2" t="s">
        <v>1341</v>
      </c>
      <c r="D231" s="2" t="str">
        <f>CLEAN("1610-00-77")</f>
        <v>1610-00-77</v>
      </c>
      <c r="E231" s="3" t="str">
        <f>CLEAN("MELLEN - ASHLAND")</f>
        <v>MELLEN - ASHLAND</v>
      </c>
      <c r="F231" s="3" t="str">
        <f>CLEAN("BUTTERWORTH RD TO USH 2")</f>
        <v>BUTTERWORTH RD TO USH 2</v>
      </c>
      <c r="G231" s="3" t="str">
        <f>CLEAN("CONSTRUCTION/RESURFACE")</f>
        <v>CONSTRUCTION/RESURFACE</v>
      </c>
      <c r="H231" s="2" t="str">
        <f>CLEAN("STH 013")</f>
        <v>STH 013</v>
      </c>
      <c r="I231" s="2" t="str">
        <f t="shared" si="38"/>
        <v>303</v>
      </c>
    </row>
    <row r="232" spans="1:9" x14ac:dyDescent="0.35">
      <c r="A232" s="2" t="str">
        <f t="shared" si="39"/>
        <v>ASHLAND</v>
      </c>
      <c r="B232" s="2" t="str">
        <f t="shared" si="40"/>
        <v>CITY OF ASHLAND</v>
      </c>
      <c r="C232" s="2" t="s">
        <v>1286</v>
      </c>
      <c r="D232" s="2" t="str">
        <f>CLEAN("1610-00-80")</f>
        <v>1610-00-80</v>
      </c>
      <c r="E232" s="3" t="str">
        <f>CLEAN("MELLEN - ASHLAND")</f>
        <v>MELLEN - ASHLAND</v>
      </c>
      <c r="F232" s="3" t="str">
        <f>CLEAN("BUTTERWORTH RD TO USH 2")</f>
        <v>BUTTERWORTH RD TO USH 2</v>
      </c>
      <c r="G232" s="3" t="str">
        <f>CLEAN("CONSTRUCTION/LOCAL UTILITIES")</f>
        <v>CONSTRUCTION/LOCAL UTILITIES</v>
      </c>
      <c r="H232" s="2" t="str">
        <f>CLEAN("STH 013")</f>
        <v>STH 013</v>
      </c>
      <c r="I232" s="2" t="str">
        <f t="shared" si="38"/>
        <v>303</v>
      </c>
    </row>
    <row r="233" spans="1:9" x14ac:dyDescent="0.35">
      <c r="A233" s="2" t="str">
        <f t="shared" si="39"/>
        <v>ASHLAND</v>
      </c>
      <c r="B233" s="2" t="str">
        <f t="shared" si="40"/>
        <v>CITY OF ASHLAND</v>
      </c>
      <c r="C233" s="2" t="s">
        <v>2310</v>
      </c>
      <c r="D233" s="2" t="str">
        <f>CLEAN("8895-00-13")</f>
        <v>8895-00-13</v>
      </c>
      <c r="E233" s="3" t="str">
        <f>CLEAN("C ASHLAND  PRENTICE AVE")</f>
        <v>C ASHLAND  PRENTICE AVE</v>
      </c>
      <c r="F233" s="3" t="str">
        <f>CLEAN("11TH STREET E TO 6TH STREET E")</f>
        <v>11TH STREET E TO 6TH STREET E</v>
      </c>
      <c r="G233" s="3" t="str">
        <f>CLEAN("DESIGN-FULL PS&amp;E RECONSTRUCT")</f>
        <v>DESIGN-FULL PS&amp;E RECONSTRUCT</v>
      </c>
      <c r="H233" s="2" t="str">
        <f>CLEAN("LOC STR")</f>
        <v>LOC STR</v>
      </c>
      <c r="I233" s="2" t="str">
        <f>CLEAN("206")</f>
        <v>206</v>
      </c>
    </row>
    <row r="234" spans="1:9" x14ac:dyDescent="0.35">
      <c r="A234" s="2" t="str">
        <f t="shared" si="39"/>
        <v>ASHLAND</v>
      </c>
      <c r="B234" s="2" t="str">
        <f t="shared" si="40"/>
        <v>CITY OF ASHLAND</v>
      </c>
      <c r="C234" s="2" t="s">
        <v>1318</v>
      </c>
      <c r="D234" s="2" t="str">
        <f>CLEAN("8895-00-14")</f>
        <v>8895-00-14</v>
      </c>
      <c r="E234" s="3" t="str">
        <f>CLEAN("C ASHLAND  PRENTICE AVE")</f>
        <v>C ASHLAND  PRENTICE AVE</v>
      </c>
      <c r="F234" s="3" t="str">
        <f>CLEAN("11TH STREET E TO 6TH STREET E")</f>
        <v>11TH STREET E TO 6TH STREET E</v>
      </c>
      <c r="G234" s="3" t="str">
        <f>CLEAN("CONSTRUCTION/RECONSTRUCT")</f>
        <v>CONSTRUCTION/RECONSTRUCT</v>
      </c>
      <c r="H234" s="2" t="str">
        <f>CLEAN("LOC STR")</f>
        <v>LOC STR</v>
      </c>
      <c r="I234" s="2" t="str">
        <f>CLEAN("206")</f>
        <v>206</v>
      </c>
    </row>
    <row r="235" spans="1:9" x14ac:dyDescent="0.35">
      <c r="A235" s="2" t="str">
        <f t="shared" si="39"/>
        <v>ASHLAND</v>
      </c>
      <c r="B235" s="2" t="str">
        <f t="shared" si="40"/>
        <v>CITY OF ASHLAND</v>
      </c>
      <c r="C235" s="2" t="s">
        <v>1122</v>
      </c>
      <c r="D235" s="2" t="str">
        <f>CLEAN("8995-00-04")</f>
        <v>8995-00-04</v>
      </c>
      <c r="E235" s="3" t="str">
        <f>CLEAN("C ASHLAND  VARIOUS LOCATIONS")</f>
        <v>C ASHLAND  VARIOUS LOCATIONS</v>
      </c>
      <c r="F235" s="3" t="str">
        <f>CLEAN("BIKE &amp; PED FACILITY IMPROVEMENTS")</f>
        <v>BIKE &amp; PED FACILITY IMPROVEMENTS</v>
      </c>
      <c r="G235" s="3" t="str">
        <f>CLEAN("CONSTR/BIKE PED TRAIL IMPRVMNTS/TAP")</f>
        <v>CONSTR/BIKE PED TRAIL IMPRVMNTS/TAP</v>
      </c>
      <c r="H235" s="2" t="str">
        <f>CLEAN("NON HWY")</f>
        <v>NON HWY</v>
      </c>
      <c r="I235" s="2" t="str">
        <f>CLEAN("290")</f>
        <v>290</v>
      </c>
    </row>
    <row r="236" spans="1:9" x14ac:dyDescent="0.35">
      <c r="A236" s="2" t="str">
        <f t="shared" si="39"/>
        <v>ASHLAND</v>
      </c>
      <c r="B236" s="2" t="str">
        <f t="shared" si="40"/>
        <v>CITY OF ASHLAND</v>
      </c>
      <c r="C236" s="2" t="s">
        <v>1522</v>
      </c>
      <c r="D236" s="2" t="str">
        <f>CLEAN("8995-00-15")</f>
        <v>8995-00-15</v>
      </c>
      <c r="E236" s="3" t="str">
        <f>CLEAN("C ASHLAND  PRENTICE AVENUE")</f>
        <v>C ASHLAND  PRENTICE AVENUE</v>
      </c>
      <c r="F236" s="3" t="str">
        <f>CLEAN("LAKE SHORE DRIVE TO 6TH STREET E")</f>
        <v>LAKE SHORE DRIVE TO 6TH STREET E</v>
      </c>
      <c r="G236" s="3" t="str">
        <f>CLEAN("DESIGN - FULL PS&amp;E RECONSTRUCTION")</f>
        <v>DESIGN - FULL PS&amp;E RECONSTRUCTION</v>
      </c>
      <c r="H236" s="2" t="str">
        <f t="shared" ref="H236:H245" si="41">CLEAN("LOC STR")</f>
        <v>LOC STR</v>
      </c>
      <c r="I236" s="2" t="str">
        <f t="shared" ref="I236:I247" si="42">CLEAN("206")</f>
        <v>206</v>
      </c>
    </row>
    <row r="237" spans="1:9" x14ac:dyDescent="0.35">
      <c r="A237" s="2" t="str">
        <f t="shared" si="39"/>
        <v>ASHLAND</v>
      </c>
      <c r="B237" s="2" t="str">
        <f t="shared" si="40"/>
        <v>CITY OF ASHLAND</v>
      </c>
      <c r="C237" s="2" t="s">
        <v>1328</v>
      </c>
      <c r="D237" s="2" t="str">
        <f>CLEAN("8995-00-16")</f>
        <v>8995-00-16</v>
      </c>
      <c r="E237" s="3" t="str">
        <f>CLEAN("C ASHLAND  PRENTICE AVENUE")</f>
        <v>C ASHLAND  PRENTICE AVENUE</v>
      </c>
      <c r="F237" s="3" t="str">
        <f>CLEAN("LAKE SHORE DRIVE TO 6TH STREET E")</f>
        <v>LAKE SHORE DRIVE TO 6TH STREET E</v>
      </c>
      <c r="G237" s="3" t="str">
        <f>CLEAN("CONSTRUCTION/RECONSTRUCTION")</f>
        <v>CONSTRUCTION/RECONSTRUCTION</v>
      </c>
      <c r="H237" s="2" t="str">
        <f t="shared" si="41"/>
        <v>LOC STR</v>
      </c>
      <c r="I237" s="2" t="str">
        <f t="shared" si="42"/>
        <v>206</v>
      </c>
    </row>
    <row r="238" spans="1:9" x14ac:dyDescent="0.35">
      <c r="A238" s="2" t="str">
        <f t="shared" si="39"/>
        <v>ASHLAND</v>
      </c>
      <c r="B238" s="2" t="str">
        <f t="shared" si="40"/>
        <v>CITY OF ASHLAND</v>
      </c>
      <c r="C238" s="2" t="s">
        <v>1670</v>
      </c>
      <c r="D238" s="2" t="str">
        <f>CLEAN("8995-00-17")</f>
        <v>8995-00-17</v>
      </c>
      <c r="E238" s="3" t="str">
        <f>CLEAN("C ASHLAND  3RD STREET WEST")</f>
        <v>C ASHLAND  3RD STREET WEST</v>
      </c>
      <c r="F238" s="3" t="str">
        <f>CLEAN("STH 112 TO STH 13")</f>
        <v>STH 112 TO STH 13</v>
      </c>
      <c r="G238" s="3" t="str">
        <f>CLEAN("DESIGN - FULL PS&amp;E/RESURFACE")</f>
        <v>DESIGN - FULL PS&amp;E/RESURFACE</v>
      </c>
      <c r="H238" s="2" t="str">
        <f t="shared" si="41"/>
        <v>LOC STR</v>
      </c>
      <c r="I238" s="2" t="str">
        <f t="shared" si="42"/>
        <v>206</v>
      </c>
    </row>
    <row r="239" spans="1:9" x14ac:dyDescent="0.35">
      <c r="A239" s="2" t="str">
        <f t="shared" si="39"/>
        <v>ASHLAND</v>
      </c>
      <c r="B239" s="2" t="str">
        <f t="shared" si="40"/>
        <v>CITY OF ASHLAND</v>
      </c>
      <c r="C239" s="2" t="s">
        <v>1666</v>
      </c>
      <c r="D239" s="2" t="str">
        <f>CLEAN("8995-00-19")</f>
        <v>8995-00-19</v>
      </c>
      <c r="E239" s="3" t="str">
        <f>CLEAN("C ASHLAND  BEASER AVENUE")</f>
        <v>C ASHLAND  BEASER AVENUE</v>
      </c>
      <c r="F239" s="3" t="str">
        <f>CLEAN("MAPLE LANE TO USH 2")</f>
        <v>MAPLE LANE TO USH 2</v>
      </c>
      <c r="G239" s="3" t="str">
        <f>CLEAN("DESIGN - FULL PS&amp;E/RESURFACE")</f>
        <v>DESIGN - FULL PS&amp;E/RESURFACE</v>
      </c>
      <c r="H239" s="2" t="str">
        <f t="shared" si="41"/>
        <v>LOC STR</v>
      </c>
      <c r="I239" s="2" t="str">
        <f t="shared" si="42"/>
        <v>206</v>
      </c>
    </row>
    <row r="240" spans="1:9" x14ac:dyDescent="0.35">
      <c r="A240" s="2" t="str">
        <f t="shared" si="39"/>
        <v>ASHLAND</v>
      </c>
      <c r="B240" s="2" t="str">
        <f t="shared" si="40"/>
        <v>CITY OF ASHLAND</v>
      </c>
      <c r="C240" s="2" t="s">
        <v>1662</v>
      </c>
      <c r="D240" s="2" t="str">
        <f>CLEAN("8995-00-21")</f>
        <v>8995-00-21</v>
      </c>
      <c r="E240" s="3" t="str">
        <f>CLEAN("C ASHLAND  CARY STREET")</f>
        <v>C ASHLAND  CARY STREET</v>
      </c>
      <c r="F240" s="3" t="str">
        <f>CLEAN("16TH AVE E TO 19TH AVE E")</f>
        <v>16TH AVE E TO 19TH AVE E</v>
      </c>
      <c r="G240" s="3" t="str">
        <f>CLEAN("DESIGN - FULL PS&amp;E/RESURFACE")</f>
        <v>DESIGN - FULL PS&amp;E/RESURFACE</v>
      </c>
      <c r="H240" s="2" t="str">
        <f t="shared" si="41"/>
        <v>LOC STR</v>
      </c>
      <c r="I240" s="2" t="str">
        <f t="shared" si="42"/>
        <v>206</v>
      </c>
    </row>
    <row r="241" spans="1:9" x14ac:dyDescent="0.35">
      <c r="A241" s="2" t="str">
        <f t="shared" si="39"/>
        <v>ASHLAND</v>
      </c>
      <c r="B241" s="2" t="str">
        <f t="shared" si="40"/>
        <v>CITY OF ASHLAND</v>
      </c>
      <c r="C241" s="2" t="s">
        <v>1335</v>
      </c>
      <c r="D241" s="2" t="str">
        <f>CLEAN("8995-00-22")</f>
        <v>8995-00-22</v>
      </c>
      <c r="E241" s="3" t="str">
        <f>CLEAN("C ASHLAND  CARY STREET")</f>
        <v>C ASHLAND  CARY STREET</v>
      </c>
      <c r="F241" s="3" t="str">
        <f>CLEAN("16TH AVE E TO 19TH AVE E")</f>
        <v>16TH AVE E TO 19TH AVE E</v>
      </c>
      <c r="G241" s="3" t="str">
        <f>CLEAN("CONSTRUCTION/RESURFACE")</f>
        <v>CONSTRUCTION/RESURFACE</v>
      </c>
      <c r="H241" s="2" t="str">
        <f t="shared" si="41"/>
        <v>LOC STR</v>
      </c>
      <c r="I241" s="2" t="str">
        <f t="shared" si="42"/>
        <v>206</v>
      </c>
    </row>
    <row r="242" spans="1:9" x14ac:dyDescent="0.35">
      <c r="A242" s="2" t="str">
        <f t="shared" si="39"/>
        <v>ASHLAND</v>
      </c>
      <c r="B242" s="2" t="str">
        <f t="shared" si="40"/>
        <v>CITY OF ASHLAND</v>
      </c>
      <c r="C242" s="2" t="s">
        <v>1672</v>
      </c>
      <c r="D242" s="2" t="str">
        <f>CLEAN("8995-00-23")</f>
        <v>8995-00-23</v>
      </c>
      <c r="E242" s="3" t="str">
        <f>CLEAN("C ASHLAND  INDUSTRIAL PARK ROAD")</f>
        <v>C ASHLAND  INDUSTRIAL PARK ROAD</v>
      </c>
      <c r="F242" s="3" t="str">
        <f>CLEAN("TOLL RD TO USH 2")</f>
        <v>TOLL RD TO USH 2</v>
      </c>
      <c r="G242" s="3" t="str">
        <f>CLEAN("DESIGN - FULL PS&amp;E/RESURFACE")</f>
        <v>DESIGN - FULL PS&amp;E/RESURFACE</v>
      </c>
      <c r="H242" s="2" t="str">
        <f t="shared" si="41"/>
        <v>LOC STR</v>
      </c>
      <c r="I242" s="2" t="str">
        <f t="shared" si="42"/>
        <v>206</v>
      </c>
    </row>
    <row r="243" spans="1:9" x14ac:dyDescent="0.35">
      <c r="A243" s="2" t="str">
        <f t="shared" si="39"/>
        <v>ASHLAND</v>
      </c>
      <c r="B243" s="2" t="str">
        <f t="shared" si="40"/>
        <v>CITY OF ASHLAND</v>
      </c>
      <c r="C243" s="2" t="s">
        <v>1357</v>
      </c>
      <c r="D243" s="2" t="str">
        <f>CLEAN("8995-00-24")</f>
        <v>8995-00-24</v>
      </c>
      <c r="E243" s="3" t="str">
        <f>CLEAN("C ASHLAND  INDUSTRIAL PARK ROAD")</f>
        <v>C ASHLAND  INDUSTRIAL PARK ROAD</v>
      </c>
      <c r="F243" s="3" t="str">
        <f>CLEAN("TOLL RD TO USH 2")</f>
        <v>TOLL RD TO USH 2</v>
      </c>
      <c r="G243" s="3" t="str">
        <f>CLEAN("CONSTRUCTION/RESURFACE")</f>
        <v>CONSTRUCTION/RESURFACE</v>
      </c>
      <c r="H243" s="2" t="str">
        <f t="shared" si="41"/>
        <v>LOC STR</v>
      </c>
      <c r="I243" s="2" t="str">
        <f t="shared" si="42"/>
        <v>206</v>
      </c>
    </row>
    <row r="244" spans="1:9" x14ac:dyDescent="0.35">
      <c r="A244" s="2" t="str">
        <f t="shared" si="39"/>
        <v>ASHLAND</v>
      </c>
      <c r="B244" s="2" t="str">
        <f t="shared" si="40"/>
        <v>CITY OF ASHLAND</v>
      </c>
      <c r="C244" s="2" t="s">
        <v>1668</v>
      </c>
      <c r="D244" s="2" t="str">
        <f>CLEAN("8995-00-27")</f>
        <v>8995-00-27</v>
      </c>
      <c r="E244" s="3" t="str">
        <f>CLEAN("C ASHLAND  11TH AVE E")</f>
        <v>C ASHLAND  11TH AVE E</v>
      </c>
      <c r="F244" s="3" t="str">
        <f>CLEAN("PUFALL DR TO USH 2")</f>
        <v>PUFALL DR TO USH 2</v>
      </c>
      <c r="G244" s="3" t="str">
        <f>CLEAN("DESIGN - FULL PS&amp;E/RESURFACE")</f>
        <v>DESIGN - FULL PS&amp;E/RESURFACE</v>
      </c>
      <c r="H244" s="2" t="str">
        <f t="shared" si="41"/>
        <v>LOC STR</v>
      </c>
      <c r="I244" s="2" t="str">
        <f t="shared" si="42"/>
        <v>206</v>
      </c>
    </row>
    <row r="245" spans="1:9" x14ac:dyDescent="0.35">
      <c r="A245" s="2" t="str">
        <f t="shared" si="39"/>
        <v>ASHLAND</v>
      </c>
      <c r="B245" s="2" t="str">
        <f t="shared" si="40"/>
        <v>CITY OF ASHLAND</v>
      </c>
      <c r="C245" s="2" t="s">
        <v>1664</v>
      </c>
      <c r="D245" s="2" t="str">
        <f>CLEAN("8995-00-29")</f>
        <v>8995-00-29</v>
      </c>
      <c r="E245" s="3" t="str">
        <f>CLEAN("C ASHLAND  11TH ST W")</f>
        <v>C ASHLAND  11TH ST W</v>
      </c>
      <c r="F245" s="3" t="str">
        <f>CLEAN("BEASER AVE TO ELLIS AVE")</f>
        <v>BEASER AVE TO ELLIS AVE</v>
      </c>
      <c r="G245" s="3" t="str">
        <f>CLEAN("DESIGN - FULL PS&amp;E/RESURFACE")</f>
        <v>DESIGN - FULL PS&amp;E/RESURFACE</v>
      </c>
      <c r="H245" s="2" t="str">
        <f t="shared" si="41"/>
        <v>LOC STR</v>
      </c>
      <c r="I245" s="2" t="str">
        <f t="shared" si="42"/>
        <v>206</v>
      </c>
    </row>
    <row r="246" spans="1:9" x14ac:dyDescent="0.35">
      <c r="A246" s="2" t="str">
        <f>CLEAN("SAUK")</f>
        <v>SAUK</v>
      </c>
      <c r="B246" s="2" t="str">
        <f>CLEAN("CITY OF BARABOO")</f>
        <v>CITY OF BARABOO</v>
      </c>
      <c r="C246" s="2" t="s">
        <v>1856</v>
      </c>
      <c r="D246" s="2" t="str">
        <f>CLEAN("5988-01-13")</f>
        <v>5988-01-13</v>
      </c>
      <c r="E246" s="3" t="str">
        <f>CLEAN("C BARABOO  LED STREET LIGHTS")</f>
        <v>C BARABOO  LED STREET LIGHTS</v>
      </c>
      <c r="F246" s="3" t="str">
        <f>CLEAN("VARIOUS LOCATIONS - C BARABOO")</f>
        <v>VARIOUS LOCATIONS - C BARABOO</v>
      </c>
      <c r="G246" s="3" t="str">
        <f>CLEAN("DESIGN/CARBON RED-LED LIGHTING")</f>
        <v>DESIGN/CARBON RED-LED LIGHTING</v>
      </c>
      <c r="H246" s="2" t="str">
        <f>CLEAN("VAR HWY")</f>
        <v>VAR HWY</v>
      </c>
      <c r="I246" s="2" t="str">
        <f t="shared" si="42"/>
        <v>206</v>
      </c>
    </row>
    <row r="247" spans="1:9" x14ac:dyDescent="0.35">
      <c r="A247" s="2" t="str">
        <f>CLEAN("SAUK")</f>
        <v>SAUK</v>
      </c>
      <c r="B247" s="2" t="str">
        <f>CLEAN("CITY OF BARABOO")</f>
        <v>CITY OF BARABOO</v>
      </c>
      <c r="C247" s="2" t="s">
        <v>522</v>
      </c>
      <c r="D247" s="2" t="str">
        <f>CLEAN("5988-01-14")</f>
        <v>5988-01-14</v>
      </c>
      <c r="E247" s="3" t="str">
        <f>CLEAN("C BARABOO  LED STREET LIGHTS")</f>
        <v>C BARABOO  LED STREET LIGHTS</v>
      </c>
      <c r="F247" s="3" t="str">
        <f>CLEAN("VARIOUS LOCATIONS - C BARABOO")</f>
        <v>VARIOUS LOCATIONS - C BARABOO</v>
      </c>
      <c r="G247" s="3" t="str">
        <f>CLEAN("CONST/CARBON RED-LED LIGHTING")</f>
        <v>CONST/CARBON RED-LED LIGHTING</v>
      </c>
      <c r="H247" s="2" t="str">
        <f>CLEAN("VAR HWY")</f>
        <v>VAR HWY</v>
      </c>
      <c r="I247" s="2" t="str">
        <f t="shared" si="42"/>
        <v>206</v>
      </c>
    </row>
    <row r="248" spans="1:9" x14ac:dyDescent="0.35">
      <c r="A248" s="2" t="str">
        <f>CLEAN("SAUK")</f>
        <v>SAUK</v>
      </c>
      <c r="B248" s="2" t="str">
        <f>CLEAN("CITY OF BARABOO")</f>
        <v>CITY OF BARABOO</v>
      </c>
      <c r="C248" s="2" t="s">
        <v>351</v>
      </c>
      <c r="D248" s="2" t="str">
        <f>CLEAN("5090-05-71")</f>
        <v>5090-05-71</v>
      </c>
      <c r="E248" s="3" t="str">
        <f>CLEAN("C BARABOO  EIGHTH STREET")</f>
        <v>C BARABOO  EIGHTH STREET</v>
      </c>
      <c r="F248" s="3" t="str">
        <f>CLEAN("W CITY LIMIT TO LINCOLN AVENUE")</f>
        <v>W CITY LIMIT TO LINCOLN AVENUE</v>
      </c>
      <c r="G248" s="3" t="str">
        <f>CLEAN("CONST/ PAVEMENT REPLACEMENT")</f>
        <v>CONST/ PAVEMENT REPLACEMENT</v>
      </c>
      <c r="H248" s="2" t="str">
        <f>CLEAN("STH 113")</f>
        <v>STH 113</v>
      </c>
      <c r="I248" s="2" t="str">
        <f>CLEAN("303")</f>
        <v>303</v>
      </c>
    </row>
    <row r="249" spans="1:9" x14ac:dyDescent="0.35">
      <c r="A249" s="2" t="str">
        <f>CLEAN("SAUK")</f>
        <v>SAUK</v>
      </c>
      <c r="B249" s="2" t="str">
        <f>CLEAN("CITY OF BARABOO")</f>
        <v>CITY OF BARABOO</v>
      </c>
      <c r="C249" s="2" t="s">
        <v>1033</v>
      </c>
      <c r="D249" s="2" t="str">
        <f>CLEAN("5090-05-72")</f>
        <v>5090-05-72</v>
      </c>
      <c r="E249" s="3" t="str">
        <f>CLEAN("C BARABOO  EIGHTH STREET")</f>
        <v>C BARABOO  EIGHTH STREET</v>
      </c>
      <c r="F249" s="3" t="str">
        <f>CLEAN("W CITY LIMIT TO LINCOLN AVENUE")</f>
        <v>W CITY LIMIT TO LINCOLN AVENUE</v>
      </c>
      <c r="G249" s="3" t="str">
        <f>CLEAN("CONST/SANITARY SEWER/WATER MAIN")</f>
        <v>CONST/SANITARY SEWER/WATER MAIN</v>
      </c>
      <c r="H249" s="2" t="str">
        <f>CLEAN("STH 033")</f>
        <v>STH 033</v>
      </c>
      <c r="I249" s="2" t="str">
        <f>CLEAN("303")</f>
        <v>303</v>
      </c>
    </row>
    <row r="250" spans="1:9" x14ac:dyDescent="0.35">
      <c r="A250" s="2" t="str">
        <f>CLEAN("SAUK")</f>
        <v>SAUK</v>
      </c>
      <c r="B250" s="2" t="str">
        <f>CLEAN("CITY OF BARABOO")</f>
        <v>CITY OF BARABOO</v>
      </c>
      <c r="C250" s="2" t="s">
        <v>2308</v>
      </c>
      <c r="D250" s="2" t="str">
        <f>CLEAN("5620-00-04")</f>
        <v>5620-00-04</v>
      </c>
      <c r="E250" s="3" t="str">
        <f>CLEAN("C BARABOO  WATER STREET &amp; BROADWAY")</f>
        <v>C BARABOO  WATER STREET &amp; BROADWAY</v>
      </c>
      <c r="F250" s="3" t="str">
        <f>CLEAN("MOUND STREET TO STH 33")</f>
        <v>MOUND STREET TO STH 33</v>
      </c>
      <c r="G250" s="3" t="str">
        <f>CLEAN("DESIGN-FULL PS&amp;E PVRPLA")</f>
        <v>DESIGN-FULL PS&amp;E PVRPLA</v>
      </c>
      <c r="H250" s="2" t="str">
        <f>CLEAN("STH 113")</f>
        <v>STH 113</v>
      </c>
      <c r="I250" s="2" t="str">
        <f>CLEAN("303")</f>
        <v>303</v>
      </c>
    </row>
    <row r="251" spans="1:9" x14ac:dyDescent="0.35">
      <c r="A251" s="2" t="str">
        <f t="shared" ref="A251:A262" si="43">CLEAN("DODGE")</f>
        <v>DODGE</v>
      </c>
      <c r="B251" s="2" t="str">
        <f t="shared" ref="B251:B262" si="44">CLEAN("CITY OF BEAVER DAM")</f>
        <v>CITY OF BEAVER DAM</v>
      </c>
      <c r="C251" s="2" t="s">
        <v>2143</v>
      </c>
      <c r="D251" s="2" t="str">
        <f>CLEAN("5995-04-01")</f>
        <v>5995-04-01</v>
      </c>
      <c r="E251" s="3" t="str">
        <f>CLEAN("C OF BEAVER DAM  FRANCES LANE")</f>
        <v>C OF BEAVER DAM  FRANCES LANE</v>
      </c>
      <c r="F251" s="3" t="str">
        <f>CLEAN("GATEWAY DR TO N CRYSTAL LAKE RD")</f>
        <v>GATEWAY DR TO N CRYSTAL LAKE RD</v>
      </c>
      <c r="G251" s="3" t="str">
        <f>CLEAN("DESIGN/PLAN CHECK REVIEW/PVRPLA")</f>
        <v>DESIGN/PLAN CHECK REVIEW/PVRPLA</v>
      </c>
      <c r="H251" s="2" t="str">
        <f>CLEAN("LOC STR")</f>
        <v>LOC STR</v>
      </c>
      <c r="I251" s="2" t="str">
        <f>CLEAN("206")</f>
        <v>206</v>
      </c>
    </row>
    <row r="252" spans="1:9" x14ac:dyDescent="0.35">
      <c r="A252" s="2" t="str">
        <f t="shared" si="43"/>
        <v>DODGE</v>
      </c>
      <c r="B252" s="2" t="str">
        <f t="shared" si="44"/>
        <v>CITY OF BEAVER DAM</v>
      </c>
      <c r="C252" s="2" t="s">
        <v>2180</v>
      </c>
      <c r="D252" s="2" t="str">
        <f>CLEAN("6995-04-04")</f>
        <v>6995-04-04</v>
      </c>
      <c r="E252" s="3" t="str">
        <f>CLEAN("CITY OF BEAVER DAM  MADISON STREET")</f>
        <v>CITY OF BEAVER DAM  MADISON STREET</v>
      </c>
      <c r="F252" s="3" t="str">
        <f>CLEAN("CHATHAM STREET TO ROWELL STREET")</f>
        <v>CHATHAM STREET TO ROWELL STREET</v>
      </c>
      <c r="G252" s="3" t="str">
        <f>CLEAN("DESIGN/PLAN CHECK REVIEW/RECST")</f>
        <v>DESIGN/PLAN CHECK REVIEW/RECST</v>
      </c>
      <c r="H252" s="2" t="str">
        <f>CLEAN("LOC STR")</f>
        <v>LOC STR</v>
      </c>
      <c r="I252" s="2" t="str">
        <f>CLEAN("206")</f>
        <v>206</v>
      </c>
    </row>
    <row r="253" spans="1:9" x14ac:dyDescent="0.35">
      <c r="A253" s="2" t="str">
        <f t="shared" si="43"/>
        <v>DODGE</v>
      </c>
      <c r="B253" s="2" t="str">
        <f t="shared" si="44"/>
        <v>CITY OF BEAVER DAM</v>
      </c>
      <c r="C253" s="2" t="s">
        <v>3401</v>
      </c>
      <c r="D253" s="2" t="str">
        <f>CLEAN("3700-11-67")</f>
        <v>3700-11-67</v>
      </c>
      <c r="E253" s="3" t="str">
        <f>CLEAN("CITY OF BEAVER DAM")</f>
        <v>CITY OF BEAVER DAM</v>
      </c>
      <c r="F253" s="3" t="str">
        <f>CLEAN("PARK AVE/UNIVERSITY AVE INTERS")</f>
        <v>PARK AVE/UNIVERSITY AVE INTERS</v>
      </c>
      <c r="G253" s="3" t="str">
        <f>CLEAN("TRF/ DES SIGNAL RETROFIT/ TOSIG")</f>
        <v>TRF/ DES SIGNAL RETROFIT/ TOSIG</v>
      </c>
      <c r="H253" s="2" t="str">
        <f>CLEAN("STH 033")</f>
        <v>STH 033</v>
      </c>
      <c r="I253" s="2" t="str">
        <f>CLEAN("305")</f>
        <v>305</v>
      </c>
    </row>
    <row r="254" spans="1:9" x14ac:dyDescent="0.35">
      <c r="A254" s="2" t="str">
        <f t="shared" si="43"/>
        <v>DODGE</v>
      </c>
      <c r="B254" s="2" t="str">
        <f t="shared" si="44"/>
        <v>CITY OF BEAVER DAM</v>
      </c>
      <c r="C254" s="2" t="s">
        <v>3392</v>
      </c>
      <c r="D254" s="2" t="str">
        <f>CLEAN("3700-11-68")</f>
        <v>3700-11-68</v>
      </c>
      <c r="E254" s="3" t="str">
        <f>CLEAN("CITY OF BEAVER DAM")</f>
        <v>CITY OF BEAVER DAM</v>
      </c>
      <c r="F254" s="3" t="str">
        <f>CLEAN("PARK AVE/UNIVERSITY AVE INTERS")</f>
        <v>PARK AVE/UNIVERSITY AVE INTERS</v>
      </c>
      <c r="G254" s="3" t="str">
        <f>CLEAN("TRF/ CONST SIGNAL RETROFIT/ TOSIG")</f>
        <v>TRF/ CONST SIGNAL RETROFIT/ TOSIG</v>
      </c>
      <c r="H254" s="2" t="str">
        <f>CLEAN("STH 033")</f>
        <v>STH 033</v>
      </c>
      <c r="I254" s="2" t="str">
        <f>CLEAN("305")</f>
        <v>305</v>
      </c>
    </row>
    <row r="255" spans="1:9" x14ac:dyDescent="0.35">
      <c r="A255" s="2" t="str">
        <f t="shared" si="43"/>
        <v>DODGE</v>
      </c>
      <c r="B255" s="2" t="str">
        <f t="shared" si="44"/>
        <v>CITY OF BEAVER DAM</v>
      </c>
      <c r="C255" s="2" t="s">
        <v>191</v>
      </c>
      <c r="D255" s="2" t="str">
        <f>CLEAN("5995-04-71")</f>
        <v>5995-04-71</v>
      </c>
      <c r="E255" s="3" t="str">
        <f>CLEAN("C OF BEAVER DAM  FRANCES LANE")</f>
        <v>C OF BEAVER DAM  FRANCES LANE</v>
      </c>
      <c r="F255" s="3" t="str">
        <f>CLEAN("GATEWAY DR TO N CRYSTAL LAKE RD")</f>
        <v>GATEWAY DR TO N CRYSTAL LAKE RD</v>
      </c>
      <c r="G255" s="3" t="str">
        <f>CLEAN("CONST OPS/PAVEMENT REPLACEMENT")</f>
        <v>CONST OPS/PAVEMENT REPLACEMENT</v>
      </c>
      <c r="H255" s="2" t="str">
        <f>CLEAN("LOC STR")</f>
        <v>LOC STR</v>
      </c>
      <c r="I255" s="2" t="str">
        <f t="shared" ref="I255:I262" si="45">CLEAN("206")</f>
        <v>206</v>
      </c>
    </row>
    <row r="256" spans="1:9" x14ac:dyDescent="0.35">
      <c r="A256" s="2" t="str">
        <f t="shared" si="43"/>
        <v>DODGE</v>
      </c>
      <c r="B256" s="2" t="str">
        <f t="shared" si="44"/>
        <v>CITY OF BEAVER DAM</v>
      </c>
      <c r="C256" s="2" t="s">
        <v>523</v>
      </c>
      <c r="D256" s="2" t="str">
        <f>CLEAN("6995-00-09")</f>
        <v>6995-00-09</v>
      </c>
      <c r="E256" s="3" t="str">
        <f>CLEAN("C BEAVER DAM  LED STREET LIGHTS")</f>
        <v>C BEAVER DAM  LED STREET LIGHTS</v>
      </c>
      <c r="F256" s="3" t="str">
        <f>CLEAN("VARIOUS LOCATIONS - C BEAVER DAM")</f>
        <v>VARIOUS LOCATIONS - C BEAVER DAM</v>
      </c>
      <c r="G256" s="3" t="str">
        <f>CLEAN("CONST/CARBON RED-LED LIGHTING")</f>
        <v>CONST/CARBON RED-LED LIGHTING</v>
      </c>
      <c r="H256" s="2" t="str">
        <f>CLEAN("VAR HWY")</f>
        <v>VAR HWY</v>
      </c>
      <c r="I256" s="2" t="str">
        <f t="shared" si="45"/>
        <v>206</v>
      </c>
    </row>
    <row r="257" spans="1:9" x14ac:dyDescent="0.35">
      <c r="A257" s="2" t="str">
        <f t="shared" si="43"/>
        <v>DODGE</v>
      </c>
      <c r="B257" s="2" t="str">
        <f t="shared" si="44"/>
        <v>CITY OF BEAVER DAM</v>
      </c>
      <c r="C257" s="2" t="s">
        <v>2254</v>
      </c>
      <c r="D257" s="2" t="str">
        <f>CLEAN("6995-00-12")</f>
        <v>6995-00-12</v>
      </c>
      <c r="E257" s="3" t="str">
        <f>CLEAN("C BEAVER DAM  EAST DAVIS STREET")</f>
        <v>C BEAVER DAM  EAST DAVIS STREET</v>
      </c>
      <c r="F257" s="3" t="str">
        <f>CLEAN("S SPRING STREET TO S UNIVERSITY AVE")</f>
        <v>S SPRING STREET TO S UNIVERSITY AVE</v>
      </c>
      <c r="G257" s="3" t="str">
        <f>CLEAN("DESIGN/RECONSTRUCT")</f>
        <v>DESIGN/RECONSTRUCT</v>
      </c>
      <c r="H257" s="2" t="str">
        <f t="shared" ref="H257:H262" si="46">CLEAN("LOC STR")</f>
        <v>LOC STR</v>
      </c>
      <c r="I257" s="2" t="str">
        <f t="shared" si="45"/>
        <v>206</v>
      </c>
    </row>
    <row r="258" spans="1:9" x14ac:dyDescent="0.35">
      <c r="A258" s="2" t="str">
        <f t="shared" si="43"/>
        <v>DODGE</v>
      </c>
      <c r="B258" s="2" t="str">
        <f t="shared" si="44"/>
        <v>CITY OF BEAVER DAM</v>
      </c>
      <c r="C258" s="2" t="s">
        <v>213</v>
      </c>
      <c r="D258" s="2" t="str">
        <f>CLEAN("6995-00-14")</f>
        <v>6995-00-14</v>
      </c>
      <c r="E258" s="3" t="str">
        <f>CLEAN("C BEAVER DAM  EAST DAVIS STREET")</f>
        <v>C BEAVER DAM  EAST DAVIS STREET</v>
      </c>
      <c r="F258" s="3" t="str">
        <f>CLEAN("S SPRING STREET TO S UNIVERSITY AVE")</f>
        <v>S SPRING STREET TO S UNIVERSITY AVE</v>
      </c>
      <c r="G258" s="3" t="str">
        <f>CLEAN("CONST OPS/PUBLIC UTILITIES")</f>
        <v>CONST OPS/PUBLIC UTILITIES</v>
      </c>
      <c r="H258" s="2" t="str">
        <f t="shared" si="46"/>
        <v>LOC STR</v>
      </c>
      <c r="I258" s="2" t="str">
        <f t="shared" si="45"/>
        <v>206</v>
      </c>
    </row>
    <row r="259" spans="1:9" x14ac:dyDescent="0.35">
      <c r="A259" s="2" t="str">
        <f t="shared" si="43"/>
        <v>DODGE</v>
      </c>
      <c r="B259" s="2" t="str">
        <f t="shared" si="44"/>
        <v>CITY OF BEAVER DAM</v>
      </c>
      <c r="C259" s="2" t="s">
        <v>2129</v>
      </c>
      <c r="D259" s="2" t="str">
        <f>CLEAN("6995-00-19")</f>
        <v>6995-00-19</v>
      </c>
      <c r="E259" s="3" t="str">
        <f>CLEAN("C BEAVER DAM  JUDSON DRIVE")</f>
        <v>C BEAVER DAM  JUDSON DRIVE</v>
      </c>
      <c r="F259" s="3" t="str">
        <f>CLEAN("S SPRING STREET TO S LINCOLN AVENUE")</f>
        <v>S SPRING STREET TO S LINCOLN AVENUE</v>
      </c>
      <c r="G259" s="3" t="str">
        <f>CLEAN("DESIGN/PLAN CHECK REVIEW/PVRPL")</f>
        <v>DESIGN/PLAN CHECK REVIEW/PVRPL</v>
      </c>
      <c r="H259" s="2" t="str">
        <f t="shared" si="46"/>
        <v>LOC STR</v>
      </c>
      <c r="I259" s="2" t="str">
        <f t="shared" si="45"/>
        <v>206</v>
      </c>
    </row>
    <row r="260" spans="1:9" x14ac:dyDescent="0.35">
      <c r="A260" s="2" t="str">
        <f t="shared" si="43"/>
        <v>DODGE</v>
      </c>
      <c r="B260" s="2" t="str">
        <f t="shared" si="44"/>
        <v>CITY OF BEAVER DAM</v>
      </c>
      <c r="C260" s="2" t="s">
        <v>195</v>
      </c>
      <c r="D260" s="2" t="str">
        <f>CLEAN("6995-00-20")</f>
        <v>6995-00-20</v>
      </c>
      <c r="E260" s="3" t="str">
        <f>CLEAN("C BEAVER DAM  JUDSON DRIVE")</f>
        <v>C BEAVER DAM  JUDSON DRIVE</v>
      </c>
      <c r="F260" s="3" t="str">
        <f>CLEAN("S SPRING STREET TO S LINCOLN AVENUE")</f>
        <v>S SPRING STREET TO S LINCOLN AVENUE</v>
      </c>
      <c r="G260" s="3" t="str">
        <f>CLEAN("CONST OPS/PAVEMENT REPLACEMENT")</f>
        <v>CONST OPS/PAVEMENT REPLACEMENT</v>
      </c>
      <c r="H260" s="2" t="str">
        <f t="shared" si="46"/>
        <v>LOC STR</v>
      </c>
      <c r="I260" s="2" t="str">
        <f t="shared" si="45"/>
        <v>206</v>
      </c>
    </row>
    <row r="261" spans="1:9" x14ac:dyDescent="0.35">
      <c r="A261" s="2" t="str">
        <f t="shared" si="43"/>
        <v>DODGE</v>
      </c>
      <c r="B261" s="2" t="str">
        <f t="shared" si="44"/>
        <v>CITY OF BEAVER DAM</v>
      </c>
      <c r="C261" s="2" t="s">
        <v>238</v>
      </c>
      <c r="D261" s="2" t="str">
        <f>CLEAN("6995-04-74")</f>
        <v>6995-04-74</v>
      </c>
      <c r="E261" s="3" t="str">
        <f>CLEAN("CITY OF BEAVER DAM  MADISON STREET")</f>
        <v>CITY OF BEAVER DAM  MADISON STREET</v>
      </c>
      <c r="F261" s="3" t="str">
        <f>CLEAN("CHATHAM STREET TO ROWELL STREET")</f>
        <v>CHATHAM STREET TO ROWELL STREET</v>
      </c>
      <c r="G261" s="3" t="str">
        <f>CLEAN("CONST OPS/RECONSTRUCTION")</f>
        <v>CONST OPS/RECONSTRUCTION</v>
      </c>
      <c r="H261" s="2" t="str">
        <f t="shared" si="46"/>
        <v>LOC STR</v>
      </c>
      <c r="I261" s="2" t="str">
        <f t="shared" si="45"/>
        <v>206</v>
      </c>
    </row>
    <row r="262" spans="1:9" x14ac:dyDescent="0.35">
      <c r="A262" s="2" t="str">
        <f t="shared" si="43"/>
        <v>DODGE</v>
      </c>
      <c r="B262" s="2" t="str">
        <f t="shared" si="44"/>
        <v>CITY OF BEAVER DAM</v>
      </c>
      <c r="C262" s="2" t="s">
        <v>3419</v>
      </c>
      <c r="D262" s="2" t="str">
        <f>CLEAN("6995-04-75")</f>
        <v>6995-04-75</v>
      </c>
      <c r="E262" s="3" t="str">
        <f>CLEAN("CITY OF BEAVER DAM  MADISON STREET")</f>
        <v>CITY OF BEAVER DAM  MADISON STREET</v>
      </c>
      <c r="F262" s="3" t="str">
        <f>CLEAN("CHATHAM STREET TO ROWELL STREET")</f>
        <v>CHATHAM STREET TO ROWELL STREET</v>
      </c>
      <c r="G262" s="3" t="str">
        <f>CLEAN("UTL OPS/SANITARY SEWER - WATER MAIN")</f>
        <v>UTL OPS/SANITARY SEWER - WATER MAIN</v>
      </c>
      <c r="H262" s="2" t="str">
        <f t="shared" si="46"/>
        <v>LOC STR</v>
      </c>
      <c r="I262" s="2" t="str">
        <f t="shared" si="45"/>
        <v>206</v>
      </c>
    </row>
    <row r="263" spans="1:9" x14ac:dyDescent="0.35">
      <c r="A263" s="2" t="str">
        <f t="shared" ref="A263:A274" si="47">CLEAN("ROCK")</f>
        <v>ROCK</v>
      </c>
      <c r="B263" s="2" t="str">
        <f t="shared" ref="B263:B274" si="48">CLEAN("CITY OF BELOIT")</f>
        <v>CITY OF BELOIT</v>
      </c>
      <c r="C263" s="2" t="s">
        <v>1539</v>
      </c>
      <c r="D263" s="2" t="str">
        <f>CLEAN("5340-01-03")</f>
        <v>5340-01-03</v>
      </c>
      <c r="E263" s="3" t="str">
        <f>CLEAN("C BELOIT  LIBERTY AVENUE")</f>
        <v>C BELOIT  LIBERTY AVENUE</v>
      </c>
      <c r="F263" s="3" t="str">
        <f>CLEAN("STH 213/MCKINLEY AVE INTERSECTION")</f>
        <v>STH 213/MCKINLEY AVE INTERSECTION</v>
      </c>
      <c r="G263" s="3" t="str">
        <f>CLEAN("DESIGN - FULL PS&amp;E RECST")</f>
        <v>DESIGN - FULL PS&amp;E RECST</v>
      </c>
      <c r="H263" s="2" t="str">
        <f>CLEAN("STH 081")</f>
        <v>STH 081</v>
      </c>
      <c r="I263" s="2" t="str">
        <f>CLEAN("303")</f>
        <v>303</v>
      </c>
    </row>
    <row r="264" spans="1:9" x14ac:dyDescent="0.35">
      <c r="A264" s="2" t="str">
        <f t="shared" si="47"/>
        <v>ROCK</v>
      </c>
      <c r="B264" s="2" t="str">
        <f t="shared" si="48"/>
        <v>CITY OF BELOIT</v>
      </c>
      <c r="C264" s="2" t="s">
        <v>1538</v>
      </c>
      <c r="D264" s="2" t="str">
        <f>CLEAN("5340-01-04")</f>
        <v>5340-01-04</v>
      </c>
      <c r="E264" s="3" t="str">
        <f>CLEAN("C BELOIT  WHITE AVENUE")</f>
        <v>C BELOIT  WHITE AVENUE</v>
      </c>
      <c r="F264" s="3" t="str">
        <f>CLEAN("MILWAUKEE ROAD INTERSECTION")</f>
        <v>MILWAUKEE ROAD INTERSECTION</v>
      </c>
      <c r="G264" s="3" t="str">
        <f>CLEAN("DESIGN - FULL PS&amp;E RECST")</f>
        <v>DESIGN - FULL PS&amp;E RECST</v>
      </c>
      <c r="H264" s="2" t="str">
        <f>CLEAN("STH 081")</f>
        <v>STH 081</v>
      </c>
      <c r="I264" s="2" t="str">
        <f>CLEAN("303")</f>
        <v>303</v>
      </c>
    </row>
    <row r="265" spans="1:9" x14ac:dyDescent="0.35">
      <c r="A265" s="2" t="str">
        <f t="shared" si="47"/>
        <v>ROCK</v>
      </c>
      <c r="B265" s="2" t="str">
        <f t="shared" si="48"/>
        <v>CITY OF BELOIT</v>
      </c>
      <c r="C265" s="2" t="s">
        <v>1494</v>
      </c>
      <c r="D265" s="2" t="str">
        <f>CLEAN("5340-01-05")</f>
        <v>5340-01-05</v>
      </c>
      <c r="E265" s="3" t="str">
        <f>CLEAN("C BELOIT  WHITE AVENUE")</f>
        <v>C BELOIT  WHITE AVENUE</v>
      </c>
      <c r="F265" s="3" t="str">
        <f>CLEAN("WISCONSIN AVENUE INTERSECTION")</f>
        <v>WISCONSIN AVENUE INTERSECTION</v>
      </c>
      <c r="G265" s="3" t="str">
        <f>CLEAN("DESIGN - FULL PS&amp;E MISC")</f>
        <v>DESIGN - FULL PS&amp;E MISC</v>
      </c>
      <c r="H265" s="2" t="str">
        <f>CLEAN("STH 081")</f>
        <v>STH 081</v>
      </c>
      <c r="I265" s="2" t="str">
        <f>CLEAN("303")</f>
        <v>303</v>
      </c>
    </row>
    <row r="266" spans="1:9" x14ac:dyDescent="0.35">
      <c r="A266" s="2" t="str">
        <f t="shared" si="47"/>
        <v>ROCK</v>
      </c>
      <c r="B266" s="2" t="str">
        <f t="shared" si="48"/>
        <v>CITY OF BELOIT</v>
      </c>
      <c r="C266" s="2" t="s">
        <v>2318</v>
      </c>
      <c r="D266" s="2" t="str">
        <f>CLEAN("5570-01-03")</f>
        <v>5570-01-03</v>
      </c>
      <c r="E266" s="3" t="str">
        <f>CLEAN("C BELOIT  STATE STREET")</f>
        <v>C BELOIT  STATE STREET</v>
      </c>
      <c r="F266" s="3" t="str">
        <f>CLEAN("IL STATE LINE TO USH 51")</f>
        <v>IL STATE LINE TO USH 51</v>
      </c>
      <c r="G266" s="3" t="str">
        <f>CLEAN("DESIGN-FULL PS&amp;E RSRF30")</f>
        <v>DESIGN-FULL PS&amp;E RSRF30</v>
      </c>
      <c r="H266" s="2" t="str">
        <f>CLEAN("STH 213")</f>
        <v>STH 213</v>
      </c>
      <c r="I266" s="2" t="str">
        <f>CLEAN("303")</f>
        <v>303</v>
      </c>
    </row>
    <row r="267" spans="1:9" x14ac:dyDescent="0.35">
      <c r="A267" s="2" t="str">
        <f t="shared" si="47"/>
        <v>ROCK</v>
      </c>
      <c r="B267" s="2" t="str">
        <f t="shared" si="48"/>
        <v>CITY OF BELOIT</v>
      </c>
      <c r="C267" s="2" t="s">
        <v>2294</v>
      </c>
      <c r="D267" s="2" t="str">
        <f>CLEAN("5570-01-06")</f>
        <v>5570-01-06</v>
      </c>
      <c r="E267" s="3" t="str">
        <f>CLEAN("C BELOIT  FOURTH STREET")</f>
        <v>C BELOIT  FOURTH STREET</v>
      </c>
      <c r="F267" s="3" t="str">
        <f>CLEAN("ROCK RIVER BRIDGE B-53-090")</f>
        <v>ROCK RIVER BRIDGE B-53-090</v>
      </c>
      <c r="G267" s="3" t="str">
        <f>CLEAN("DESIGN-FULL PS&amp;E BRRHB B-53-090")</f>
        <v>DESIGN-FULL PS&amp;E BRRHB B-53-090</v>
      </c>
      <c r="H267" s="2" t="str">
        <f>CLEAN("STH 213")</f>
        <v>STH 213</v>
      </c>
      <c r="I267" s="2" t="str">
        <f>CLEAN("303")</f>
        <v>303</v>
      </c>
    </row>
    <row r="268" spans="1:9" x14ac:dyDescent="0.35">
      <c r="A268" s="2" t="str">
        <f t="shared" si="47"/>
        <v>ROCK</v>
      </c>
      <c r="B268" s="2" t="str">
        <f t="shared" si="48"/>
        <v>CITY OF BELOIT</v>
      </c>
      <c r="C268" s="2" t="s">
        <v>2120</v>
      </c>
      <c r="D268" s="2" t="str">
        <f>CLEAN("5989-03-02")</f>
        <v>5989-03-02</v>
      </c>
      <c r="E268" s="3" t="str">
        <f>CLEAN("LEE LANE SIDEPATH - MULTI-USE PATH")</f>
        <v>LEE LANE SIDEPATH - MULTI-USE PATH</v>
      </c>
      <c r="F268" s="3" t="str">
        <f>CLEAN("CRANSTON ROAD TO MILWAUKEE STREET")</f>
        <v>CRANSTON ROAD TO MILWAUKEE STREET</v>
      </c>
      <c r="G268" s="3" t="str">
        <f>CLEAN("DESIGN/PLAN CHECK REVIEW/PATH")</f>
        <v>DESIGN/PLAN CHECK REVIEW/PATH</v>
      </c>
      <c r="H268" s="2" t="str">
        <f>CLEAN("NON HWY")</f>
        <v>NON HWY</v>
      </c>
      <c r="I268" s="2" t="str">
        <f>CLEAN("206")</f>
        <v>206</v>
      </c>
    </row>
    <row r="269" spans="1:9" x14ac:dyDescent="0.35">
      <c r="A269" s="2" t="str">
        <f t="shared" si="47"/>
        <v>ROCK</v>
      </c>
      <c r="B269" s="2" t="str">
        <f t="shared" si="48"/>
        <v>CITY OF BELOIT</v>
      </c>
      <c r="C269" s="2" t="s">
        <v>2149</v>
      </c>
      <c r="D269" s="2" t="str">
        <f>CLEAN("5989-03-10")</f>
        <v>5989-03-10</v>
      </c>
      <c r="E269" s="3" t="str">
        <f>CLEAN("CITY OF BELOIT  CRANSTON ROAD")</f>
        <v>CITY OF BELOIT  CRANSTON ROAD</v>
      </c>
      <c r="F269" s="3" t="str">
        <f>CLEAN("PRAIRIE AVENUE TO W COLLINGSWOOD DR")</f>
        <v>PRAIRIE AVENUE TO W COLLINGSWOOD DR</v>
      </c>
      <c r="G269" s="3" t="str">
        <f>CLEAN("DESIGN/PLAN CHECK REVIEW/PVRPLA")</f>
        <v>DESIGN/PLAN CHECK REVIEW/PVRPLA</v>
      </c>
      <c r="H269" s="2" t="str">
        <f>CLEAN("LOC STR")</f>
        <v>LOC STR</v>
      </c>
      <c r="I269" s="2" t="str">
        <f>CLEAN("206")</f>
        <v>206</v>
      </c>
    </row>
    <row r="270" spans="1:9" x14ac:dyDescent="0.35">
      <c r="A270" s="2" t="str">
        <f t="shared" si="47"/>
        <v>ROCK</v>
      </c>
      <c r="B270" s="2" t="str">
        <f t="shared" si="48"/>
        <v>CITY OF BELOIT</v>
      </c>
      <c r="C270" s="2" t="s">
        <v>208</v>
      </c>
      <c r="D270" s="2" t="str">
        <f>CLEAN("5989-03-11")</f>
        <v>5989-03-11</v>
      </c>
      <c r="E270" s="3" t="str">
        <f>CLEAN("CITY OF BELOIT  CRANSTON ROAD")</f>
        <v>CITY OF BELOIT  CRANSTON ROAD</v>
      </c>
      <c r="F270" s="3" t="str">
        <f>CLEAN("PRAIRIE AVENUE TO W COLLINGSWOOD DR")</f>
        <v>PRAIRIE AVENUE TO W COLLINGSWOOD DR</v>
      </c>
      <c r="G270" s="3" t="str">
        <f>CLEAN("CONST OPS/PRAVEMENT REPLACEMENT")</f>
        <v>CONST OPS/PRAVEMENT REPLACEMENT</v>
      </c>
      <c r="H270" s="2" t="str">
        <f>CLEAN("LOC STR")</f>
        <v>LOC STR</v>
      </c>
      <c r="I270" s="2" t="str">
        <f>CLEAN("206")</f>
        <v>206</v>
      </c>
    </row>
    <row r="271" spans="1:9" x14ac:dyDescent="0.35">
      <c r="A271" s="2" t="str">
        <f t="shared" si="47"/>
        <v>ROCK</v>
      </c>
      <c r="B271" s="2" t="str">
        <f t="shared" si="48"/>
        <v>CITY OF BELOIT</v>
      </c>
      <c r="C271" s="2" t="s">
        <v>3359</v>
      </c>
      <c r="D271" s="2" t="str">
        <f>CLEAN("5350-00-70")</f>
        <v>5350-00-70</v>
      </c>
      <c r="E271" s="3" t="str">
        <f>CLEAN("C OF BELOIT  ABC SUPPLY CORPORATION")</f>
        <v>C OF BELOIT  ABC SUPPLY CORPORATION</v>
      </c>
      <c r="F271" s="3" t="str">
        <f>CLEAN("WHITE AVE (STH 81)PRINCE HALL DRIVE")</f>
        <v>WHITE AVE (STH 81)PRINCE HALL DRIVE</v>
      </c>
      <c r="G271" s="3" t="str">
        <f>CLEAN("TRAFFIC SIGNALS/LLC/TEA")</f>
        <v>TRAFFIC SIGNALS/LLC/TEA</v>
      </c>
      <c r="H271" s="2" t="str">
        <f>CLEAN("STH 081")</f>
        <v>STH 081</v>
      </c>
      <c r="I271" s="2" t="str">
        <f>CLEAN("209")</f>
        <v>209</v>
      </c>
    </row>
    <row r="272" spans="1:9" x14ac:dyDescent="0.35">
      <c r="A272" s="2" t="str">
        <f t="shared" si="47"/>
        <v>ROCK</v>
      </c>
      <c r="B272" s="2" t="str">
        <f t="shared" si="48"/>
        <v>CITY OF BELOIT</v>
      </c>
      <c r="C272" s="2" t="s">
        <v>333</v>
      </c>
      <c r="D272" s="2" t="str">
        <f>CLEAN("5570-01-73")</f>
        <v>5570-01-73</v>
      </c>
      <c r="E272" s="3" t="str">
        <f>CLEAN("C BELOIT  STATE STREET")</f>
        <v>C BELOIT  STATE STREET</v>
      </c>
      <c r="F272" s="3" t="str">
        <f>CLEAN("IL STATE LINE TO USH 51")</f>
        <v>IL STATE LINE TO USH 51</v>
      </c>
      <c r="G272" s="3" t="str">
        <f>CLEAN("CONST/ MILL AND OVERLAY")</f>
        <v>CONST/ MILL AND OVERLAY</v>
      </c>
      <c r="H272" s="2" t="str">
        <f>CLEAN("STH 213")</f>
        <v>STH 213</v>
      </c>
      <c r="I272" s="2" t="str">
        <f>CLEAN("303")</f>
        <v>303</v>
      </c>
    </row>
    <row r="273" spans="1:9" x14ac:dyDescent="0.35">
      <c r="A273" s="2" t="str">
        <f t="shared" si="47"/>
        <v>ROCK</v>
      </c>
      <c r="B273" s="2" t="str">
        <f t="shared" si="48"/>
        <v>CITY OF BELOIT</v>
      </c>
      <c r="C273" s="2" t="s">
        <v>2138</v>
      </c>
      <c r="D273" s="2" t="str">
        <f>CLEAN("5989-00-13")</f>
        <v>5989-00-13</v>
      </c>
      <c r="E273" s="3" t="str">
        <f>CLEAN("C BELOIT  PRAIRIE AVENUE")</f>
        <v>C BELOIT  PRAIRIE AVENUE</v>
      </c>
      <c r="F273" s="3" t="str">
        <f>CLEAN("CRANSTON ROAD TO HUEBBE PARKWAY")</f>
        <v>CRANSTON ROAD TO HUEBBE PARKWAY</v>
      </c>
      <c r="G273" s="3" t="str">
        <f>CLEAN("DESIGN/PLAN CHECK REVIEW/PVRPLA")</f>
        <v>DESIGN/PLAN CHECK REVIEW/PVRPLA</v>
      </c>
      <c r="H273" s="2" t="str">
        <f>CLEAN("CTH G")</f>
        <v>CTH G</v>
      </c>
      <c r="I273" s="2" t="str">
        <f>CLEAN("206")</f>
        <v>206</v>
      </c>
    </row>
    <row r="274" spans="1:9" x14ac:dyDescent="0.35">
      <c r="A274" s="2" t="str">
        <f t="shared" si="47"/>
        <v>ROCK</v>
      </c>
      <c r="B274" s="2" t="str">
        <f t="shared" si="48"/>
        <v>CITY OF BELOIT</v>
      </c>
      <c r="C274" s="2" t="s">
        <v>2163</v>
      </c>
      <c r="D274" s="2" t="str">
        <f>CLEAN("5989-00-23")</f>
        <v>5989-00-23</v>
      </c>
      <c r="E274" s="3" t="str">
        <f>CLEAN("C OF BELOIT  HENRY AVE/SHOPIERE RD")</f>
        <v>C OF BELOIT  HENRY AVE/SHOPIERE RD</v>
      </c>
      <c r="F274" s="3" t="str">
        <f>CLEAN("ROYCE AVENUE TO PRAIRIE AVENUE")</f>
        <v>ROYCE AVENUE TO PRAIRIE AVENUE</v>
      </c>
      <c r="G274" s="3" t="str">
        <f>CLEAN("DESIGN/PLAN CHECK REVIEW/RCND")</f>
        <v>DESIGN/PLAN CHECK REVIEW/RCND</v>
      </c>
      <c r="H274" s="2" t="str">
        <f>CLEAN("LOC STR")</f>
        <v>LOC STR</v>
      </c>
      <c r="I274" s="2" t="str">
        <f>CLEAN("206")</f>
        <v>206</v>
      </c>
    </row>
    <row r="275" spans="1:9" x14ac:dyDescent="0.35">
      <c r="A275" s="2" t="str">
        <f>CLEAN("GREEN LAKE")</f>
        <v>GREEN LAKE</v>
      </c>
      <c r="B275" s="2" t="str">
        <f>CLEAN("CITY OF BERLIN")</f>
        <v>CITY OF BERLIN</v>
      </c>
      <c r="C275" s="2" t="s">
        <v>1923</v>
      </c>
      <c r="D275" s="2" t="str">
        <f>CLEAN("6540-01-03")</f>
        <v>6540-01-03</v>
      </c>
      <c r="E275" s="3" t="str">
        <f>CLEAN("C BERLIN  HURON STREET")</f>
        <v>C BERLIN  HURON STREET</v>
      </c>
      <c r="F275" s="3" t="str">
        <f>CLEAN("STH 49 SOUTH TO BERLIN CITY LIMITS")</f>
        <v>STH 49 SOUTH TO BERLIN CITY LIMITS</v>
      </c>
      <c r="G275" s="3" t="str">
        <f>CLEAN("DESIGN/FULL PSE/PVRPLA")</f>
        <v>DESIGN/FULL PSE/PVRPLA</v>
      </c>
      <c r="H275" s="2" t="str">
        <f>CLEAN("STH 091")</f>
        <v>STH 091</v>
      </c>
      <c r="I275" s="2" t="str">
        <f>CLEAN("303")</f>
        <v>303</v>
      </c>
    </row>
    <row r="276" spans="1:9" x14ac:dyDescent="0.35">
      <c r="A276" s="2" t="str">
        <f>CLEAN("GREEN LAKE")</f>
        <v>GREEN LAKE</v>
      </c>
      <c r="B276" s="2" t="str">
        <f>CLEAN("CITY OF BERLIN")</f>
        <v>CITY OF BERLIN</v>
      </c>
      <c r="C276" s="2" t="s">
        <v>1922</v>
      </c>
      <c r="D276" s="2" t="str">
        <f>CLEAN("6210-00-04")</f>
        <v>6210-00-04</v>
      </c>
      <c r="E276" s="3" t="str">
        <f>CLEAN("C BERLIN  BROADWAY ST AND RIPON RD")</f>
        <v>C BERLIN  BROADWAY ST AND RIPON RD</v>
      </c>
      <c r="F276" s="3" t="str">
        <f>CLEAN("SOUTH STREET TO S WASHINGTON STREET")</f>
        <v>SOUTH STREET TO S WASHINGTON STREET</v>
      </c>
      <c r="G276" s="3" t="str">
        <f>CLEAN("DESIGN/FULL PSE/PVRPLA")</f>
        <v>DESIGN/FULL PSE/PVRPLA</v>
      </c>
      <c r="H276" s="2" t="str">
        <f>CLEAN("STH 049")</f>
        <v>STH 049</v>
      </c>
      <c r="I276" s="2" t="str">
        <f>CLEAN("303")</f>
        <v>303</v>
      </c>
    </row>
    <row r="277" spans="1:9" x14ac:dyDescent="0.35">
      <c r="A277" s="2" t="str">
        <f>CLEAN("JACKSON")</f>
        <v>JACKSON</v>
      </c>
      <c r="B277" s="2" t="str">
        <f>CLEAN("CITY OF BLACK RIVER FALLS")</f>
        <v>CITY OF BLACK RIVER FALLS</v>
      </c>
      <c r="C277" s="2" t="s">
        <v>1617</v>
      </c>
      <c r="D277" s="2" t="str">
        <f>CLEAN("7239-06-06")</f>
        <v>7239-06-06</v>
      </c>
      <c r="E277" s="3" t="str">
        <f>CLEAN("C BLACK RIVER FALLS  3RD STREET")</f>
        <v>C BLACK RIVER FALLS  3RD STREET</v>
      </c>
      <c r="F277" s="3" t="str">
        <f>CLEAN("TOWN CREEK BRIDGE P-27-0703")</f>
        <v>TOWN CREEK BRIDGE P-27-0703</v>
      </c>
      <c r="G277" s="3" t="str">
        <f>CLEAN("DESIGN - FULL PS&amp;E/BRRPL")</f>
        <v>DESIGN - FULL PS&amp;E/BRRPL</v>
      </c>
      <c r="H277" s="2" t="str">
        <f>CLEAN("LOC STR")</f>
        <v>LOC STR</v>
      </c>
      <c r="I277" s="2" t="str">
        <f>CLEAN("205")</f>
        <v>205</v>
      </c>
    </row>
    <row r="278" spans="1:9" x14ac:dyDescent="0.35">
      <c r="A278" s="2" t="str">
        <f>CLEAN("JACKSON")</f>
        <v>JACKSON</v>
      </c>
      <c r="B278" s="2" t="str">
        <f>CLEAN("CITY OF BLACK RIVER FALLS")</f>
        <v>CITY OF BLACK RIVER FALLS</v>
      </c>
      <c r="C278" s="2" t="s">
        <v>3081</v>
      </c>
      <c r="D278" s="2" t="str">
        <f>CLEAN("7239-06-08")</f>
        <v>7239-06-08</v>
      </c>
      <c r="E278" s="3" t="str">
        <f>CLEAN("C BLACK RIVER VARIOUS LOCATIONS")</f>
        <v>C BLACK RIVER VARIOUS LOCATIONS</v>
      </c>
      <c r="F278" s="3" t="str">
        <f>CLEAN("BICYCLE AND PEDESTRIAN PLAN")</f>
        <v>BICYCLE AND PEDESTRIAN PLAN</v>
      </c>
      <c r="G278" s="3" t="str">
        <f>CLEAN("PLANNING/BICYCLE-PED PLANNING STUDY")</f>
        <v>PLANNING/BICYCLE-PED PLANNING STUDY</v>
      </c>
      <c r="H278" s="2" t="str">
        <f>CLEAN("OFF SYS")</f>
        <v>OFF SYS</v>
      </c>
      <c r="I278" s="2" t="str">
        <f>CLEAN("290")</f>
        <v>290</v>
      </c>
    </row>
    <row r="279" spans="1:9" x14ac:dyDescent="0.35">
      <c r="A279" s="2" t="str">
        <f>CLEAN("GRANT")</f>
        <v>GRANT</v>
      </c>
      <c r="B279" s="2" t="str">
        <f>CLEAN("CITY OF BOSCOBEL")</f>
        <v>CITY OF BOSCOBEL</v>
      </c>
      <c r="C279" s="2" t="s">
        <v>2314</v>
      </c>
      <c r="D279" s="2" t="str">
        <f>CLEAN("5616-02-05")</f>
        <v>5616-02-05</v>
      </c>
      <c r="E279" s="3" t="str">
        <f>CLEAN("BOSCOBEL - MUSCODA")</f>
        <v>BOSCOBEL - MUSCODA</v>
      </c>
      <c r="F279" s="3" t="str">
        <f>CLEAN("USH 61 TO WISCONSIN AVENUE")</f>
        <v>USH 61 TO WISCONSIN AVENUE</v>
      </c>
      <c r="G279" s="3" t="str">
        <f>CLEAN("DESIGN-FULL PS&amp;E RSRF20")</f>
        <v>DESIGN-FULL PS&amp;E RSRF20</v>
      </c>
      <c r="H279" s="2" t="str">
        <f>CLEAN("STH 133")</f>
        <v>STH 133</v>
      </c>
      <c r="I279" s="2" t="str">
        <f>CLEAN("303")</f>
        <v>303</v>
      </c>
    </row>
    <row r="280" spans="1:9" x14ac:dyDescent="0.35">
      <c r="A280" s="2" t="str">
        <f>CLEAN("GRANT")</f>
        <v>GRANT</v>
      </c>
      <c r="B280" s="2" t="str">
        <f>CLEAN("CITY OF BOSCOBEL")</f>
        <v>CITY OF BOSCOBEL</v>
      </c>
      <c r="C280" s="2" t="s">
        <v>2068</v>
      </c>
      <c r="D280" s="2" t="str">
        <f>CLEAN("5722-00-03")</f>
        <v>5722-00-03</v>
      </c>
      <c r="E280" s="3" t="str">
        <f>CLEAN("C BOSCOBEL  MULTI-USE PATH")</f>
        <v>C BOSCOBEL  MULTI-USE PATH</v>
      </c>
      <c r="F280" s="3" t="str">
        <f>CLEAN("WSOR RR TO RIVER VIEW LANE")</f>
        <v>WSOR RR TO RIVER VIEW LANE</v>
      </c>
      <c r="G280" s="3" t="str">
        <f>CLEAN("DESIGN/PLAN CHECK REVIEW")</f>
        <v>DESIGN/PLAN CHECK REVIEW</v>
      </c>
      <c r="H280" s="2" t="str">
        <f>CLEAN("NON HWY")</f>
        <v>NON HWY</v>
      </c>
      <c r="I280" s="2" t="str">
        <f>CLEAN("290")</f>
        <v>290</v>
      </c>
    </row>
    <row r="281" spans="1:9" x14ac:dyDescent="0.35">
      <c r="A281" s="2" t="str">
        <f>CLEAN("GRANT")</f>
        <v>GRANT</v>
      </c>
      <c r="B281" s="2" t="str">
        <f>CLEAN("CITY OF BOSCOBEL")</f>
        <v>CITY OF BOSCOBEL</v>
      </c>
      <c r="C281" s="2" t="s">
        <v>3204</v>
      </c>
      <c r="D281" s="2" t="str">
        <f>CLEAN("5722-00-50")</f>
        <v>5722-00-50</v>
      </c>
      <c r="E281" s="3" t="str">
        <f>CLEAN("C BOSCOBEL  MULTI-USE PATH")</f>
        <v>C BOSCOBEL  MULTI-USE PATH</v>
      </c>
      <c r="F281" s="3" t="str">
        <f>CLEAN("WSOR RR")</f>
        <v>WSOR RR</v>
      </c>
      <c r="G281" s="3" t="str">
        <f>CLEAN("RR OPS/")</f>
        <v>RR OPS/</v>
      </c>
      <c r="H281" s="2" t="str">
        <f>CLEAN("NON HWY")</f>
        <v>NON HWY</v>
      </c>
      <c r="I281" s="2" t="str">
        <f>CLEAN("290")</f>
        <v>290</v>
      </c>
    </row>
    <row r="282" spans="1:9" x14ac:dyDescent="0.35">
      <c r="A282" s="2" t="str">
        <f>CLEAN("GRANT")</f>
        <v>GRANT</v>
      </c>
      <c r="B282" s="2" t="str">
        <f>CLEAN("CITY OF BOSCOBEL")</f>
        <v>CITY OF BOSCOBEL</v>
      </c>
      <c r="C282" s="2" t="s">
        <v>3045</v>
      </c>
      <c r="D282" s="2" t="str">
        <f>CLEAN("5722-00-74")</f>
        <v>5722-00-74</v>
      </c>
      <c r="E282" s="3" t="str">
        <f>CLEAN("C BOSCOBEL  MULTI-USE PATH")</f>
        <v>C BOSCOBEL  MULTI-USE PATH</v>
      </c>
      <c r="F282" s="3" t="str">
        <f>CLEAN("WSOR RR TO RIVER VIEW LANE")</f>
        <v>WSOR RR TO RIVER VIEW LANE</v>
      </c>
      <c r="G282" s="3" t="str">
        <f>CLEAN("PEDESTRIAN/BICYCLE TRAIL")</f>
        <v>PEDESTRIAN/BICYCLE TRAIL</v>
      </c>
      <c r="H282" s="2" t="str">
        <f>CLEAN("NON HWY")</f>
        <v>NON HWY</v>
      </c>
      <c r="I282" s="2" t="str">
        <f>CLEAN("290")</f>
        <v>290</v>
      </c>
    </row>
    <row r="283" spans="1:9" x14ac:dyDescent="0.35">
      <c r="A283" s="2" t="str">
        <f>CLEAN("GREEN")</f>
        <v>GREEN</v>
      </c>
      <c r="B283" s="2" t="str">
        <f>CLEAN("CITY OF BRODHEAD")</f>
        <v>CITY OF BRODHEAD</v>
      </c>
      <c r="C283" s="2" t="s">
        <v>2612</v>
      </c>
      <c r="D283" s="2" t="str">
        <f>CLEAN("1706-01-04")</f>
        <v>1706-01-04</v>
      </c>
      <c r="E283" s="3" t="str">
        <f>CLEAN("C BRODHEAD  1ST STREET")</f>
        <v>C BRODHEAD  1ST STREET</v>
      </c>
      <c r="F283" s="3" t="str">
        <f>CLEAN("2ND STREET TO STH 104")</f>
        <v>2ND STREET TO STH 104</v>
      </c>
      <c r="G283" s="3" t="str">
        <f>CLEAN("PE/ MILL AND OVERLAY")</f>
        <v>PE/ MILL AND OVERLAY</v>
      </c>
      <c r="H283" s="2" t="str">
        <f>CLEAN("STH 011")</f>
        <v>STH 011</v>
      </c>
      <c r="I283" s="2" t="str">
        <f>CLEAN("303")</f>
        <v>303</v>
      </c>
    </row>
    <row r="284" spans="1:9" x14ac:dyDescent="0.35">
      <c r="A284" s="2" t="str">
        <f t="shared" ref="A284:A291" si="49">CLEAN("WAUKESHA")</f>
        <v>WAUKESHA</v>
      </c>
      <c r="B284" s="2" t="str">
        <f t="shared" ref="B284:B291" si="50">CLEAN("CITY OF BROOKFIELD")</f>
        <v>CITY OF BROOKFIELD</v>
      </c>
      <c r="C284" s="2" t="s">
        <v>2979</v>
      </c>
      <c r="D284" s="2" t="str">
        <f>CLEAN("2721-03-02")</f>
        <v>2721-03-02</v>
      </c>
      <c r="E284" s="3" t="str">
        <f>CLEAN("C BROOKFIELD LIGHTING REPLACEMENT")</f>
        <v>C BROOKFIELD LIGHTING REPLACEMENT</v>
      </c>
      <c r="F284" s="3" t="str">
        <f>CLEAN("BLUEMOUND  MOORLAND  GREENFIELD")</f>
        <v>BLUEMOUND  MOORLAND  GREENFIELD</v>
      </c>
      <c r="G284" s="3" t="str">
        <f>CLEAN("PE/STATE REVIEW ONLY")</f>
        <v>PE/STATE REVIEW ONLY</v>
      </c>
      <c r="H284" s="2" t="str">
        <f>CLEAN("VAR HWY")</f>
        <v>VAR HWY</v>
      </c>
      <c r="I284" s="2" t="str">
        <f>CLEAN("206")</f>
        <v>206</v>
      </c>
    </row>
    <row r="285" spans="1:9" x14ac:dyDescent="0.35">
      <c r="A285" s="2" t="str">
        <f t="shared" si="49"/>
        <v>WAUKESHA</v>
      </c>
      <c r="B285" s="2" t="str">
        <f t="shared" si="50"/>
        <v>CITY OF BROOKFIELD</v>
      </c>
      <c r="C285" s="2" t="s">
        <v>975</v>
      </c>
      <c r="D285" s="2" t="str">
        <f>CLEAN("1060-10-72")</f>
        <v>1060-10-72</v>
      </c>
      <c r="E285" s="3" t="str">
        <f>CLEAN("IH 94 EAST WEST FREEWAY")</f>
        <v>IH 94 EAST WEST FREEWAY</v>
      </c>
      <c r="F285" s="3" t="str">
        <f>CLEAN("MOORLAND I/C")</f>
        <v>MOORLAND I/C</v>
      </c>
      <c r="G285" s="3" t="str">
        <f>CLEAN("CONST/RESURFACE")</f>
        <v>CONST/RESURFACE</v>
      </c>
      <c r="H285" s="2" t="str">
        <f>CLEAN("IH  094")</f>
        <v>IH  094</v>
      </c>
      <c r="I285" s="2" t="str">
        <f>CLEAN("303")</f>
        <v>303</v>
      </c>
    </row>
    <row r="286" spans="1:9" x14ac:dyDescent="0.35">
      <c r="A286" s="2" t="str">
        <f t="shared" si="49"/>
        <v>WAUKESHA</v>
      </c>
      <c r="B286" s="2" t="str">
        <f t="shared" si="50"/>
        <v>CITY OF BROOKFIELD</v>
      </c>
      <c r="C286" s="2" t="s">
        <v>953</v>
      </c>
      <c r="D286" s="2" t="str">
        <f>CLEAN("2025-03-73")</f>
        <v>2025-03-73</v>
      </c>
      <c r="E286" s="3" t="str">
        <f>CLEAN("C BROOKFIELD  CAPITOL DR")</f>
        <v>C BROOKFIELD  CAPITOL DR</v>
      </c>
      <c r="F286" s="3" t="str">
        <f>CLEAN("BROOKFIELD RD TO 124TH ST")</f>
        <v>BROOKFIELD RD TO 124TH ST</v>
      </c>
      <c r="G286" s="3" t="str">
        <f>CLEAN("CONST/RESURFACE")</f>
        <v>CONST/RESURFACE</v>
      </c>
      <c r="H286" s="2" t="str">
        <f>CLEAN("STH 190")</f>
        <v>STH 190</v>
      </c>
      <c r="I286" s="2" t="str">
        <f>CLEAN("303")</f>
        <v>303</v>
      </c>
    </row>
    <row r="287" spans="1:9" x14ac:dyDescent="0.35">
      <c r="A287" s="2" t="str">
        <f t="shared" si="49"/>
        <v>WAUKESHA</v>
      </c>
      <c r="B287" s="2" t="str">
        <f t="shared" si="50"/>
        <v>CITY OF BROOKFIELD</v>
      </c>
      <c r="C287" s="2" t="s">
        <v>971</v>
      </c>
      <c r="D287" s="2" t="str">
        <f>CLEAN("2200-20-70")</f>
        <v>2200-20-70</v>
      </c>
      <c r="E287" s="3" t="str">
        <f>CLEAN("C BROOKFIELD  BLUEMOUND RD")</f>
        <v>C BROOKFIELD  BLUEMOUND RD</v>
      </c>
      <c r="F287" s="3" t="str">
        <f>CLEAN("IH 94 TO EAST COUNTY LINE")</f>
        <v>IH 94 TO EAST COUNTY LINE</v>
      </c>
      <c r="G287" s="3" t="str">
        <f>CLEAN("CONST/RESURFACE")</f>
        <v>CONST/RESURFACE</v>
      </c>
      <c r="H287" s="2" t="str">
        <f>CLEAN("USH 018")</f>
        <v>USH 018</v>
      </c>
      <c r="I287" s="2" t="str">
        <f>CLEAN("303")</f>
        <v>303</v>
      </c>
    </row>
    <row r="288" spans="1:9" x14ac:dyDescent="0.35">
      <c r="A288" s="2" t="str">
        <f t="shared" si="49"/>
        <v>WAUKESHA</v>
      </c>
      <c r="B288" s="2" t="str">
        <f t="shared" si="50"/>
        <v>CITY OF BROOKFIELD</v>
      </c>
      <c r="C288" s="2" t="s">
        <v>2776</v>
      </c>
      <c r="D288" s="2" t="str">
        <f>CLEAN("2230-15-02")</f>
        <v>2230-15-02</v>
      </c>
      <c r="E288" s="3" t="str">
        <f>CLEAN("C NEW BERLIN/BRKFLD  GREENFIELD AVE")</f>
        <v>C NEW BERLIN/BRKFLD  GREENFIELD AVE</v>
      </c>
      <c r="F288" s="3" t="str">
        <f>CLEAN("S BROOKFIELD RD TO 124TH ST")</f>
        <v>S BROOKFIELD RD TO 124TH ST</v>
      </c>
      <c r="G288" s="3" t="str">
        <f>CLEAN("PE/FULL PS&amp;E/RSRF25")</f>
        <v>PE/FULL PS&amp;E/RSRF25</v>
      </c>
      <c r="H288" s="2" t="str">
        <f>CLEAN("STH 059")</f>
        <v>STH 059</v>
      </c>
      <c r="I288" s="2" t="str">
        <f>CLEAN("303")</f>
        <v>303</v>
      </c>
    </row>
    <row r="289" spans="1:9" x14ac:dyDescent="0.35">
      <c r="A289" s="2" t="str">
        <f t="shared" si="49"/>
        <v>WAUKESHA</v>
      </c>
      <c r="B289" s="2" t="str">
        <f t="shared" si="50"/>
        <v>CITY OF BROOKFIELD</v>
      </c>
      <c r="C289" s="2" t="s">
        <v>2793</v>
      </c>
      <c r="D289" s="2" t="str">
        <f>CLEAN("2721-00-06")</f>
        <v>2721-00-06</v>
      </c>
      <c r="E289" s="3" t="str">
        <f>CLEAN("C BROOKFIELD - ENTERPRISE AVE")</f>
        <v>C BROOKFIELD - ENTERPRISE AVE</v>
      </c>
      <c r="F289" s="3" t="str">
        <f>CLEAN("BRIDGE OVER POPLAR CREEK P67-0764")</f>
        <v>BRIDGE OVER POPLAR CREEK P67-0764</v>
      </c>
      <c r="G289" s="3" t="str">
        <f>CLEAN("PE/FULL PS/BRRPL")</f>
        <v>PE/FULL PS/BRRPL</v>
      </c>
      <c r="H289" s="2" t="str">
        <f>CLEAN("LOC STR")</f>
        <v>LOC STR</v>
      </c>
      <c r="I289" s="2" t="str">
        <f>CLEAN("205")</f>
        <v>205</v>
      </c>
    </row>
    <row r="290" spans="1:9" x14ac:dyDescent="0.35">
      <c r="A290" s="2" t="str">
        <f t="shared" si="49"/>
        <v>WAUKESHA</v>
      </c>
      <c r="B290" s="2" t="str">
        <f t="shared" si="50"/>
        <v>CITY OF BROOKFIELD</v>
      </c>
      <c r="C290" s="2" t="s">
        <v>500</v>
      </c>
      <c r="D290" s="2" t="str">
        <f>CLEAN("2721-00-76")</f>
        <v>2721-00-76</v>
      </c>
      <c r="E290" s="3" t="str">
        <f>CLEAN("C BROOKFIELD - ENTERPRISE AVE")</f>
        <v>C BROOKFIELD - ENTERPRISE AVE</v>
      </c>
      <c r="F290" s="3" t="str">
        <f>CLEAN("BRIDGE OVER POPLAR CREEK P67-0764")</f>
        <v>BRIDGE OVER POPLAR CREEK P67-0764</v>
      </c>
      <c r="G290" s="3" t="str">
        <f>CLEAN("CONST/BRRPL")</f>
        <v>CONST/BRRPL</v>
      </c>
      <c r="H290" s="2" t="str">
        <f>CLEAN("LOC STR")</f>
        <v>LOC STR</v>
      </c>
      <c r="I290" s="2" t="str">
        <f>CLEAN("205")</f>
        <v>205</v>
      </c>
    </row>
    <row r="291" spans="1:9" x14ac:dyDescent="0.35">
      <c r="A291" s="2" t="str">
        <f t="shared" si="49"/>
        <v>WAUKESHA</v>
      </c>
      <c r="B291" s="2" t="str">
        <f t="shared" si="50"/>
        <v>CITY OF BROOKFIELD</v>
      </c>
      <c r="C291" s="2" t="s">
        <v>695</v>
      </c>
      <c r="D291" s="2" t="str">
        <f>CLEAN("2721-03-82")</f>
        <v>2721-03-82</v>
      </c>
      <c r="E291" s="3" t="str">
        <f>CLEAN("C BROOKFIELD LIGHTING REPLACEMENT")</f>
        <v>C BROOKFIELD LIGHTING REPLACEMENT</v>
      </c>
      <c r="F291" s="3" t="str">
        <f>CLEAN("BLUEMOUND  MOORLAND  GREENFIELD")</f>
        <v>BLUEMOUND  MOORLAND  GREENFIELD</v>
      </c>
      <c r="G291" s="3" t="str">
        <f>CLEAN("CONST/PROCUREMENT")</f>
        <v>CONST/PROCUREMENT</v>
      </c>
      <c r="H291" s="2" t="str">
        <f>CLEAN("VAR HWY")</f>
        <v>VAR HWY</v>
      </c>
      <c r="I291" s="2" t="str">
        <f>CLEAN("206")</f>
        <v>206</v>
      </c>
    </row>
    <row r="292" spans="1:9" x14ac:dyDescent="0.35">
      <c r="A292" s="2" t="str">
        <f>CLEAN("RACINE")</f>
        <v>RACINE</v>
      </c>
      <c r="B292" s="2" t="str">
        <f>CLEAN("CITY OF BURLINGTON")</f>
        <v>CITY OF BURLINGTON</v>
      </c>
      <c r="C292" s="2" t="s">
        <v>993</v>
      </c>
      <c r="D292" s="2" t="str">
        <f>CLEAN("2240-05-71")</f>
        <v>2240-05-71</v>
      </c>
      <c r="E292" s="3" t="str">
        <f>CLEAN("C BURLINGTON  MILWAUKEE AVE")</f>
        <v>C BURLINGTON  MILWAUKEE AVE</v>
      </c>
      <c r="F292" s="3" t="str">
        <f>CLEAN("TEUT RD TO CTH W")</f>
        <v>TEUT RD TO CTH W</v>
      </c>
      <c r="G292" s="3" t="str">
        <f>CLEAN("CONST/RESURFACE")</f>
        <v>CONST/RESURFACE</v>
      </c>
      <c r="H292" s="2" t="str">
        <f>CLEAN("LOC STR")</f>
        <v>LOC STR</v>
      </c>
      <c r="I292" s="2" t="str">
        <f>CLEAN("206")</f>
        <v>206</v>
      </c>
    </row>
    <row r="293" spans="1:9" x14ac:dyDescent="0.35">
      <c r="A293" s="2" t="str">
        <f>CLEAN("RACINE")</f>
        <v>RACINE</v>
      </c>
      <c r="B293" s="2" t="str">
        <f>CLEAN("CITY OF BURLINGTON")</f>
        <v>CITY OF BURLINGTON</v>
      </c>
      <c r="C293" s="2" t="s">
        <v>419</v>
      </c>
      <c r="D293" s="2" t="str">
        <f>CLEAN("3834-00-72")</f>
        <v>3834-00-72</v>
      </c>
      <c r="E293" s="3" t="str">
        <f>CLEAN("JEFFERSON STREET")</f>
        <v>JEFFERSON STREET</v>
      </c>
      <c r="F293" s="3" t="str">
        <f>CLEAN("BRIDGE OVER FOX RIVER B-51-0001")</f>
        <v>BRIDGE OVER FOX RIVER B-51-0001</v>
      </c>
      <c r="G293" s="3" t="str">
        <f>CLEAN("CONST/BRIDGE REPLACEMENT")</f>
        <v>CONST/BRIDGE REPLACEMENT</v>
      </c>
      <c r="H293" s="2" t="str">
        <f>CLEAN("LOC STR")</f>
        <v>LOC STR</v>
      </c>
      <c r="I293" s="2" t="str">
        <f>CLEAN("205")</f>
        <v>205</v>
      </c>
    </row>
    <row r="294" spans="1:9" x14ac:dyDescent="0.35">
      <c r="A294" s="2" t="str">
        <f>CLEAN("CALUMET")</f>
        <v>CALUMET</v>
      </c>
      <c r="B294" s="2" t="str">
        <f>CLEAN("CITY OF CHILTON")</f>
        <v>CITY OF CHILTON</v>
      </c>
      <c r="C294" s="2" t="s">
        <v>1944</v>
      </c>
      <c r="D294" s="2" t="str">
        <f>CLEAN("4100-43-00")</f>
        <v>4100-43-00</v>
      </c>
      <c r="E294" s="3" t="str">
        <f>CLEAN("CHILTON - VALDERS")</f>
        <v>CHILTON - VALDERS</v>
      </c>
      <c r="F294" s="3" t="str">
        <f>CLEAN("IRISH RD INTERSECTION")</f>
        <v>IRISH RD INTERSECTION</v>
      </c>
      <c r="G294" s="3" t="str">
        <f>CLEAN("DESIGN/FULL PSE/RECST/HSIP")</f>
        <v>DESIGN/FULL PSE/RECST/HSIP</v>
      </c>
      <c r="H294" s="2" t="str">
        <f>CLEAN("USH 151")</f>
        <v>USH 151</v>
      </c>
      <c r="I294" s="2" t="str">
        <f>CLEAN("303")</f>
        <v>303</v>
      </c>
    </row>
    <row r="295" spans="1:9" x14ac:dyDescent="0.35">
      <c r="A295" s="2" t="str">
        <f t="shared" ref="A295:A303" si="51">CLEAN("CHIPPEWA")</f>
        <v>CHIPPEWA</v>
      </c>
      <c r="B295" s="2" t="str">
        <f t="shared" ref="B295:B303" si="52">CLEAN("CITY OF CHIPPEWA FALLS")</f>
        <v>CITY OF CHIPPEWA FALLS</v>
      </c>
      <c r="C295" s="2" t="s">
        <v>2276</v>
      </c>
      <c r="D295" s="2" t="str">
        <f>CLEAN("8610-02-04")</f>
        <v>8610-02-04</v>
      </c>
      <c r="E295" s="3" t="str">
        <f>CLEAN("C CHIPPEWA FALLS  BAY STREET")</f>
        <v>C CHIPPEWA FALLS  BAY STREET</v>
      </c>
      <c r="F295" s="3" t="str">
        <f>CLEAN("HIGH STREET TO BRIDGE STREET")</f>
        <v>HIGH STREET TO BRIDGE STREET</v>
      </c>
      <c r="G295" s="3" t="str">
        <f>CLEAN("DESIGN/RESURFACING")</f>
        <v>DESIGN/RESURFACING</v>
      </c>
      <c r="H295" s="2" t="str">
        <f>CLEAN("STH 124")</f>
        <v>STH 124</v>
      </c>
      <c r="I295" s="2" t="str">
        <f>CLEAN("303")</f>
        <v>303</v>
      </c>
    </row>
    <row r="296" spans="1:9" x14ac:dyDescent="0.35">
      <c r="A296" s="2" t="str">
        <f t="shared" si="51"/>
        <v>CHIPPEWA</v>
      </c>
      <c r="B296" s="2" t="str">
        <f t="shared" si="52"/>
        <v>CITY OF CHIPPEWA FALLS</v>
      </c>
      <c r="C296" s="2" t="s">
        <v>1560</v>
      </c>
      <c r="D296" s="2" t="str">
        <f>CLEAN("8610-04-06")</f>
        <v>8610-04-06</v>
      </c>
      <c r="E296" s="3" t="str">
        <f>CLEAN("CHIPPEWA FALLS - BLOOMER")</f>
        <v>CHIPPEWA FALLS - BLOOMER</v>
      </c>
      <c r="F296" s="3" t="str">
        <f>CLEAN("DUNCAN CREEK BRIDGE B-09-0001")</f>
        <v>DUNCAN CREEK BRIDGE B-09-0001</v>
      </c>
      <c r="G296" s="3" t="str">
        <f>CLEAN("DESIGN - FULL PS&amp;E/BRRHB")</f>
        <v>DESIGN - FULL PS&amp;E/BRRHB</v>
      </c>
      <c r="H296" s="2" t="str">
        <f>CLEAN("STH 124")</f>
        <v>STH 124</v>
      </c>
      <c r="I296" s="2" t="str">
        <f>CLEAN("303")</f>
        <v>303</v>
      </c>
    </row>
    <row r="297" spans="1:9" x14ac:dyDescent="0.35">
      <c r="A297" s="2" t="str">
        <f t="shared" si="51"/>
        <v>CHIPPEWA</v>
      </c>
      <c r="B297" s="2" t="str">
        <f t="shared" si="52"/>
        <v>CITY OF CHIPPEWA FALLS</v>
      </c>
      <c r="C297" s="2" t="s">
        <v>2275</v>
      </c>
      <c r="D297" s="2" t="str">
        <f>CLEAN("8610-08-03")</f>
        <v>8610-08-03</v>
      </c>
      <c r="E297" s="3" t="str">
        <f>CLEAN("CHIPPEWA FALLS - BLOOMER")</f>
        <v>CHIPPEWA FALLS - BLOOMER</v>
      </c>
      <c r="F297" s="3" t="str">
        <f>CLEAN("ELM STREET TO CTH S")</f>
        <v>ELM STREET TO CTH S</v>
      </c>
      <c r="G297" s="3" t="str">
        <f>CLEAN("DESIGN/RESURFACING")</f>
        <v>DESIGN/RESURFACING</v>
      </c>
      <c r="H297" s="2" t="str">
        <f>CLEAN("STH 124")</f>
        <v>STH 124</v>
      </c>
      <c r="I297" s="2" t="str">
        <f>CLEAN("303")</f>
        <v>303</v>
      </c>
    </row>
    <row r="298" spans="1:9" x14ac:dyDescent="0.35">
      <c r="A298" s="2" t="str">
        <f t="shared" si="51"/>
        <v>CHIPPEWA</v>
      </c>
      <c r="B298" s="2" t="str">
        <f t="shared" si="52"/>
        <v>CITY OF CHIPPEWA FALLS</v>
      </c>
      <c r="C298" s="2" t="s">
        <v>1678</v>
      </c>
      <c r="D298" s="2" t="str">
        <f>CLEAN("8996-01-20")</f>
        <v>8996-01-20</v>
      </c>
      <c r="E298" s="3" t="str">
        <f>CLEAN("C CHIPPEWA FALLS  CENTRAL ST")</f>
        <v>C CHIPPEWA FALLS  CENTRAL ST</v>
      </c>
      <c r="F298" s="3" t="str">
        <f>CLEAN("DUNCAN CREEK BRIDGE P-09-0715")</f>
        <v>DUNCAN CREEK BRIDGE P-09-0715</v>
      </c>
      <c r="G298" s="3" t="str">
        <f>CLEAN("DESIGN - FULL/PS&amp;E BRRPL")</f>
        <v>DESIGN - FULL/PS&amp;E BRRPL</v>
      </c>
      <c r="H298" s="2" t="str">
        <f>CLEAN("LOC STR")</f>
        <v>LOC STR</v>
      </c>
      <c r="I298" s="2" t="str">
        <f>CLEAN("205")</f>
        <v>205</v>
      </c>
    </row>
    <row r="299" spans="1:9" x14ac:dyDescent="0.35">
      <c r="A299" s="2" t="str">
        <f t="shared" si="51"/>
        <v>CHIPPEWA</v>
      </c>
      <c r="B299" s="2" t="str">
        <f t="shared" si="52"/>
        <v>CITY OF CHIPPEWA FALLS</v>
      </c>
      <c r="C299" s="2" t="s">
        <v>1240</v>
      </c>
      <c r="D299" s="2" t="str">
        <f>CLEAN("8996-01-21")</f>
        <v>8996-01-21</v>
      </c>
      <c r="E299" s="3" t="str">
        <f>CLEAN("C CHIPPEWA FALLS  CENTRAL ST")</f>
        <v>C CHIPPEWA FALLS  CENTRAL ST</v>
      </c>
      <c r="F299" s="3" t="str">
        <f>CLEAN("DUNCAN CREEK BRIDGE B-09-0317")</f>
        <v>DUNCAN CREEK BRIDGE B-09-0317</v>
      </c>
      <c r="G299" s="3" t="str">
        <f>CLEAN("CONSTRUCTION/BRRPL")</f>
        <v>CONSTRUCTION/BRRPL</v>
      </c>
      <c r="H299" s="2" t="str">
        <f>CLEAN("LOC STR")</f>
        <v>LOC STR</v>
      </c>
      <c r="I299" s="2" t="str">
        <f>CLEAN("205")</f>
        <v>205</v>
      </c>
    </row>
    <row r="300" spans="1:9" x14ac:dyDescent="0.35">
      <c r="A300" s="2" t="str">
        <f t="shared" si="51"/>
        <v>CHIPPEWA</v>
      </c>
      <c r="B300" s="2" t="str">
        <f t="shared" si="52"/>
        <v>CITY OF CHIPPEWA FALLS</v>
      </c>
      <c r="C300" s="2" t="s">
        <v>1656</v>
      </c>
      <c r="D300" s="2" t="str">
        <f>CLEAN("8996-01-28")</f>
        <v>8996-01-28</v>
      </c>
      <c r="E300" s="3" t="str">
        <f>CLEAN("C CHIPPEWA FALLS  BRIDGEWATER AVE")</f>
        <v>C CHIPPEWA FALLS  BRIDGEWATER AVE</v>
      </c>
      <c r="F300" s="3" t="str">
        <f>CLEAN("TERRILL STREET TO WHEATON STREET")</f>
        <v>TERRILL STREET TO WHEATON STREET</v>
      </c>
      <c r="G300" s="3" t="str">
        <f>CLEAN("DESIGN - FULL PS&amp;E/RECONSTRUCTION")</f>
        <v>DESIGN - FULL PS&amp;E/RECONSTRUCTION</v>
      </c>
      <c r="H300" s="2" t="str">
        <f>CLEAN("LOC STR")</f>
        <v>LOC STR</v>
      </c>
      <c r="I300" s="2" t="str">
        <f>CLEAN("206")</f>
        <v>206</v>
      </c>
    </row>
    <row r="301" spans="1:9" x14ac:dyDescent="0.35">
      <c r="A301" s="2" t="str">
        <f t="shared" si="51"/>
        <v>CHIPPEWA</v>
      </c>
      <c r="B301" s="2" t="str">
        <f t="shared" si="52"/>
        <v>CITY OF CHIPPEWA FALLS</v>
      </c>
      <c r="C301" s="2" t="s">
        <v>1375</v>
      </c>
      <c r="D301" s="2" t="str">
        <f>CLEAN("8600-00-74")</f>
        <v>8600-00-74</v>
      </c>
      <c r="E301" s="3" t="str">
        <f>CLEAN("CHIPPEWA FALLS - CORNELL")</f>
        <v>CHIPPEWA FALLS - CORNELL</v>
      </c>
      <c r="F301" s="3" t="str">
        <f>CLEAN("OLSON DRIVE TO CASHMAN DRIVE")</f>
        <v>OLSON DRIVE TO CASHMAN DRIVE</v>
      </c>
      <c r="G301" s="3" t="str">
        <f>CLEAN("CONSTRUCTION/SAFETY")</f>
        <v>CONSTRUCTION/SAFETY</v>
      </c>
      <c r="H301" s="2" t="str">
        <f>CLEAN("STH 178")</f>
        <v>STH 178</v>
      </c>
      <c r="I301" s="2" t="str">
        <f>CLEAN("303")</f>
        <v>303</v>
      </c>
    </row>
    <row r="302" spans="1:9" x14ac:dyDescent="0.35">
      <c r="A302" s="2" t="str">
        <f t="shared" si="51"/>
        <v>CHIPPEWA</v>
      </c>
      <c r="B302" s="2" t="str">
        <f t="shared" si="52"/>
        <v>CITY OF CHIPPEWA FALLS</v>
      </c>
      <c r="C302" s="2" t="s">
        <v>1349</v>
      </c>
      <c r="D302" s="2" t="str">
        <f>CLEAN("8610-02-74")</f>
        <v>8610-02-74</v>
      </c>
      <c r="E302" s="3" t="str">
        <f>CLEAN("C CHIPPEWA FALLS  BAY STREET")</f>
        <v>C CHIPPEWA FALLS  BAY STREET</v>
      </c>
      <c r="F302" s="3" t="str">
        <f>CLEAN("HIGH STREET TO BRIDGE STREET")</f>
        <v>HIGH STREET TO BRIDGE STREET</v>
      </c>
      <c r="G302" s="3" t="str">
        <f>CLEAN("CONSTRUCTION/RESURFACE")</f>
        <v>CONSTRUCTION/RESURFACE</v>
      </c>
      <c r="H302" s="2" t="str">
        <f>CLEAN("STH 124")</f>
        <v>STH 124</v>
      </c>
      <c r="I302" s="2" t="str">
        <f>CLEAN("303")</f>
        <v>303</v>
      </c>
    </row>
    <row r="303" spans="1:9" x14ac:dyDescent="0.35">
      <c r="A303" s="2" t="str">
        <f t="shared" si="51"/>
        <v>CHIPPEWA</v>
      </c>
      <c r="B303" s="2" t="str">
        <f t="shared" si="52"/>
        <v>CITY OF CHIPPEWA FALLS</v>
      </c>
      <c r="C303" s="2" t="s">
        <v>1347</v>
      </c>
      <c r="D303" s="2" t="str">
        <f>CLEAN("8610-08-73")</f>
        <v>8610-08-73</v>
      </c>
      <c r="E303" s="3" t="str">
        <f>CLEAN("CHIPPEWA FALLS - BLOOMER")</f>
        <v>CHIPPEWA FALLS - BLOOMER</v>
      </c>
      <c r="F303" s="3" t="str">
        <f>CLEAN("ELM STREET TO CTH S")</f>
        <v>ELM STREET TO CTH S</v>
      </c>
      <c r="G303" s="3" t="str">
        <f>CLEAN("CONSTRUCTION/RESURFACE")</f>
        <v>CONSTRUCTION/RESURFACE</v>
      </c>
      <c r="H303" s="2" t="str">
        <f>CLEAN("STH 124")</f>
        <v>STH 124</v>
      </c>
      <c r="I303" s="2" t="str">
        <f>CLEAN("303")</f>
        <v>303</v>
      </c>
    </row>
    <row r="304" spans="1:9" x14ac:dyDescent="0.35">
      <c r="A304" s="2" t="str">
        <f>CLEAN("WAUPACA")</f>
        <v>WAUPACA</v>
      </c>
      <c r="B304" s="2" t="str">
        <f>CLEAN("CITY OF CLINTONVILLE")</f>
        <v>CITY OF CLINTONVILLE</v>
      </c>
      <c r="C304" s="2" t="s">
        <v>1393</v>
      </c>
      <c r="D304" s="2" t="str">
        <f>CLEAN("1140-00-13")</f>
        <v>1140-00-13</v>
      </c>
      <c r="E304" s="3" t="str">
        <f>CLEAN("C CLINTONVILLE  SOUTH MAIN STREET")</f>
        <v>C CLINTONVILLE  SOUTH MAIN STREET</v>
      </c>
      <c r="F304" s="3" t="str">
        <f>CLEAN("REINKE ROAD TO 3RD STREET")</f>
        <v>REINKE ROAD TO 3RD STREET</v>
      </c>
      <c r="G304" s="3" t="str">
        <f>CLEAN("DES/FULL PSE/PAVEMENT REPLACEMENT")</f>
        <v>DES/FULL PSE/PAVEMENT REPLACEMENT</v>
      </c>
      <c r="H304" s="2" t="str">
        <f>CLEAN("USH 045")</f>
        <v>USH 045</v>
      </c>
      <c r="I304" s="2" t="str">
        <f>CLEAN("303")</f>
        <v>303</v>
      </c>
    </row>
    <row r="305" spans="1:9" x14ac:dyDescent="0.35">
      <c r="A305" s="2" t="str">
        <f>CLEAN("COLUMBIA")</f>
        <v>COLUMBIA</v>
      </c>
      <c r="B305" s="2" t="str">
        <f>CLEAN("CITY OF COLUMBUS")</f>
        <v>CITY OF COLUMBUS</v>
      </c>
      <c r="C305" s="2" t="s">
        <v>2948</v>
      </c>
      <c r="D305" s="2" t="str">
        <f>CLEAN("3670-01-01")</f>
        <v>3670-01-01</v>
      </c>
      <c r="E305" s="3" t="str">
        <f>CLEAN("C COLUMBUS  FARNHAM STREET")</f>
        <v>C COLUMBUS  FARNHAM STREET</v>
      </c>
      <c r="F305" s="3" t="str">
        <f>CLEAN("0.32MI S OF AVALON RD TO PARK AVE")</f>
        <v>0.32MI S OF AVALON RD TO PARK AVE</v>
      </c>
      <c r="G305" s="3" t="str">
        <f>CLEAN("PE/RECONSTRUCT ROADWAY")</f>
        <v>PE/RECONSTRUCT ROADWAY</v>
      </c>
      <c r="H305" s="2" t="str">
        <f>CLEAN("STH 089")</f>
        <v>STH 089</v>
      </c>
      <c r="I305" s="2" t="str">
        <f>CLEAN("303")</f>
        <v>303</v>
      </c>
    </row>
    <row r="306" spans="1:9" x14ac:dyDescent="0.35">
      <c r="A306" s="2" t="str">
        <f>CLEAN("COLUMBIA")</f>
        <v>COLUMBIA</v>
      </c>
      <c r="B306" s="2" t="str">
        <f>CLEAN("CITY OF COLUMBUS")</f>
        <v>CITY OF COLUMBUS</v>
      </c>
      <c r="C306" s="2" t="s">
        <v>1511</v>
      </c>
      <c r="D306" s="2" t="str">
        <f>CLEAN("6217-01-02")</f>
        <v>6217-01-02</v>
      </c>
      <c r="E306" s="3" t="str">
        <f>CLEAN("CITY OF COLUMBUS  TOWER DRIVE")</f>
        <v>CITY OF COLUMBUS  TOWER DRIVE</v>
      </c>
      <c r="F306" s="3" t="str">
        <f>CLEAN("FAITH DRIVE TO CTH K")</f>
        <v>FAITH DRIVE TO CTH K</v>
      </c>
      <c r="G306" s="3" t="str">
        <f>CLEAN("DESIGN - FULL PS&amp;E PVRPLA")</f>
        <v>DESIGN - FULL PS&amp;E PVRPLA</v>
      </c>
      <c r="H306" s="2" t="str">
        <f>CLEAN("LOC STR")</f>
        <v>LOC STR</v>
      </c>
      <c r="I306" s="2" t="str">
        <f>CLEAN("206")</f>
        <v>206</v>
      </c>
    </row>
    <row r="307" spans="1:9" x14ac:dyDescent="0.35">
      <c r="A307" s="2" t="str">
        <f>CLEAN("COLUMBIA")</f>
        <v>COLUMBIA</v>
      </c>
      <c r="B307" s="2" t="str">
        <f>CLEAN("CITY OF COLUMBUS")</f>
        <v>CITY OF COLUMBUS</v>
      </c>
      <c r="C307" s="2" t="s">
        <v>2317</v>
      </c>
      <c r="D307" s="2" t="str">
        <f>CLEAN("3060-00-04")</f>
        <v>3060-00-04</v>
      </c>
      <c r="E307" s="3" t="str">
        <f>CLEAN("C COLUMBUS  LUDINGTON STREET")</f>
        <v>C COLUMBUS  LUDINGTON STREET</v>
      </c>
      <c r="F307" s="3" t="str">
        <f>CLEAN("FAITH DRIVE TO MIDDLETON STREET")</f>
        <v>FAITH DRIVE TO MIDDLETON STREET</v>
      </c>
      <c r="G307" s="3" t="str">
        <f>CLEAN("DESIGN-FULL PS&amp;E RSRF30")</f>
        <v>DESIGN-FULL PS&amp;E RSRF30</v>
      </c>
      <c r="H307" s="2" t="str">
        <f>CLEAN("STH 073")</f>
        <v>STH 073</v>
      </c>
      <c r="I307" s="2" t="str">
        <f t="shared" ref="I307:I319" si="53">CLEAN("303")</f>
        <v>303</v>
      </c>
    </row>
    <row r="308" spans="1:9" x14ac:dyDescent="0.35">
      <c r="A308" s="2" t="str">
        <f>CLEAN("COLUMBIA")</f>
        <v>COLUMBIA</v>
      </c>
      <c r="B308" s="2" t="str">
        <f>CLEAN("CITY OF COLUMBUS")</f>
        <v>CITY OF COLUMBUS</v>
      </c>
      <c r="C308" s="2" t="s">
        <v>331</v>
      </c>
      <c r="D308" s="2" t="str">
        <f>CLEAN("3060-00-74")</f>
        <v>3060-00-74</v>
      </c>
      <c r="E308" s="3" t="str">
        <f>CLEAN("C COLUMBUS  LUDINGTON STREET")</f>
        <v>C COLUMBUS  LUDINGTON STREET</v>
      </c>
      <c r="F308" s="3" t="str">
        <f>CLEAN("FAITH DRIVE TO MIDDLETON STREET")</f>
        <v>FAITH DRIVE TO MIDDLETON STREET</v>
      </c>
      <c r="G308" s="3" t="str">
        <f>CLEAN("CONST/ MILL AND OVERLAY")</f>
        <v>CONST/ MILL AND OVERLAY</v>
      </c>
      <c r="H308" s="2" t="str">
        <f>CLEAN("STH 073")</f>
        <v>STH 073</v>
      </c>
      <c r="I308" s="2" t="str">
        <f t="shared" si="53"/>
        <v>303</v>
      </c>
    </row>
    <row r="309" spans="1:9" x14ac:dyDescent="0.35">
      <c r="A309" s="2" t="str">
        <f>CLEAN("COLUMBIA")</f>
        <v>COLUMBIA</v>
      </c>
      <c r="B309" s="2" t="str">
        <f>CLEAN("CITY OF COLUMBUS")</f>
        <v>CITY OF COLUMBUS</v>
      </c>
      <c r="C309" s="2" t="s">
        <v>359</v>
      </c>
      <c r="D309" s="2" t="str">
        <f>CLEAN("3670-01-72")</f>
        <v>3670-01-72</v>
      </c>
      <c r="E309" s="3" t="str">
        <f>CLEAN("C COLUMBUS  FARNHAM STREET")</f>
        <v>C COLUMBUS  FARNHAM STREET</v>
      </c>
      <c r="F309" s="3" t="str">
        <f>CLEAN("0.32MI S OF AVALON RD TO PARK AVE")</f>
        <v>0.32MI S OF AVALON RD TO PARK AVE</v>
      </c>
      <c r="G309" s="3" t="str">
        <f>CLEAN("CONST/ WATER MAIN &amp; SANITARY SEWER")</f>
        <v>CONST/ WATER MAIN &amp; SANITARY SEWER</v>
      </c>
      <c r="H309" s="2" t="str">
        <f>CLEAN("STH 089")</f>
        <v>STH 089</v>
      </c>
      <c r="I309" s="2" t="str">
        <f t="shared" si="53"/>
        <v>303</v>
      </c>
    </row>
    <row r="310" spans="1:9" x14ac:dyDescent="0.35">
      <c r="A310" s="2" t="str">
        <f>CLEAN("FOREST")</f>
        <v>FOREST</v>
      </c>
      <c r="B310" s="2" t="str">
        <f>CLEAN("CITY OF CRANDON")</f>
        <v>CITY OF CRANDON</v>
      </c>
      <c r="C310" s="2" t="s">
        <v>968</v>
      </c>
      <c r="D310" s="2" t="str">
        <f>CLEAN("1590-18-70")</f>
        <v>1590-18-70</v>
      </c>
      <c r="E310" s="3" t="str">
        <f>CLEAN("C CRANDON  LAKE AVENUE")</f>
        <v>C CRANDON  LAKE AVENUE</v>
      </c>
      <c r="F310" s="3" t="str">
        <f>CLEAN("GLEN STREET TO PIONEER STREET")</f>
        <v>GLEN STREET TO PIONEER STREET</v>
      </c>
      <c r="G310" s="3" t="str">
        <f>CLEAN("CONST/RESURFACE")</f>
        <v>CONST/RESURFACE</v>
      </c>
      <c r="H310" s="2" t="str">
        <f>CLEAN("USH 008")</f>
        <v>USH 008</v>
      </c>
      <c r="I310" s="2" t="str">
        <f t="shared" si="53"/>
        <v>303</v>
      </c>
    </row>
    <row r="311" spans="1:9" x14ac:dyDescent="0.35">
      <c r="A311" s="2" t="str">
        <f>CLEAN("FOREST")</f>
        <v>FOREST</v>
      </c>
      <c r="B311" s="2" t="str">
        <f>CLEAN("CITY OF CRANDON")</f>
        <v>CITY OF CRANDON</v>
      </c>
      <c r="C311" s="2" t="s">
        <v>989</v>
      </c>
      <c r="D311" s="2" t="str">
        <f>CLEAN("1590-18-71")</f>
        <v>1590-18-71</v>
      </c>
      <c r="E311" s="3" t="str">
        <f>CLEAN("MONICO - LAONA")</f>
        <v>MONICO - LAONA</v>
      </c>
      <c r="F311" s="3" t="str">
        <f>CLEAN("STH 55 SOUTH TO OTTER CREEK ROAD")</f>
        <v>STH 55 SOUTH TO OTTER CREEK ROAD</v>
      </c>
      <c r="G311" s="3" t="str">
        <f>CLEAN("CONST/RESURFACE")</f>
        <v>CONST/RESURFACE</v>
      </c>
      <c r="H311" s="2" t="str">
        <f>CLEAN("USH 008")</f>
        <v>USH 008</v>
      </c>
      <c r="I311" s="2" t="str">
        <f t="shared" si="53"/>
        <v>303</v>
      </c>
    </row>
    <row r="312" spans="1:9" x14ac:dyDescent="0.35">
      <c r="A312" s="2" t="str">
        <f>CLEAN("FOREST")</f>
        <v>FOREST</v>
      </c>
      <c r="B312" s="2" t="str">
        <f>CLEAN("CITY OF CRANDON")</f>
        <v>CITY OF CRANDON</v>
      </c>
      <c r="C312" s="2" t="s">
        <v>952</v>
      </c>
      <c r="D312" s="2" t="str">
        <f>CLEAN("1590-18-72")</f>
        <v>1590-18-72</v>
      </c>
      <c r="E312" s="3" t="str">
        <f>CLEAN("C CRANDON  W GLEN STREET")</f>
        <v>C CRANDON  W GLEN STREET</v>
      </c>
      <c r="F312" s="3" t="str">
        <f>CLEAN("BOULEVARD AVENUE TO LAKE AVENUE")</f>
        <v>BOULEVARD AVENUE TO LAKE AVENUE</v>
      </c>
      <c r="G312" s="3" t="str">
        <f>CLEAN("CONST/RESURFACE")</f>
        <v>CONST/RESURFACE</v>
      </c>
      <c r="H312" s="2" t="str">
        <f>CLEAN("USH 008")</f>
        <v>USH 008</v>
      </c>
      <c r="I312" s="2" t="str">
        <f t="shared" si="53"/>
        <v>303</v>
      </c>
    </row>
    <row r="313" spans="1:9" x14ac:dyDescent="0.35">
      <c r="A313" s="2" t="str">
        <f>CLEAN("FOREST")</f>
        <v>FOREST</v>
      </c>
      <c r="B313" s="2" t="str">
        <f>CLEAN("CITY OF CRANDON")</f>
        <v>CITY OF CRANDON</v>
      </c>
      <c r="C313" s="2" t="s">
        <v>600</v>
      </c>
      <c r="D313" s="2" t="str">
        <f>CLEAN("9260-00-81")</f>
        <v>9260-00-81</v>
      </c>
      <c r="E313" s="3" t="str">
        <f>CLEAN("C CRANDON  LAKE AVENUE")</f>
        <v>C CRANDON  LAKE AVENUE</v>
      </c>
      <c r="F313" s="3" t="str">
        <f>CLEAN("USH 8 TO CRANDON RR OVERHEAD")</f>
        <v>USH 8 TO CRANDON RR OVERHEAD</v>
      </c>
      <c r="G313" s="3" t="str">
        <f>CLEAN("CONST/LOCAL UTILITIES/PVRPLA")</f>
        <v>CONST/LOCAL UTILITIES/PVRPLA</v>
      </c>
      <c r="H313" s="2" t="str">
        <f>CLEAN("STH 032")</f>
        <v>STH 032</v>
      </c>
      <c r="I313" s="2" t="str">
        <f t="shared" si="53"/>
        <v>303</v>
      </c>
    </row>
    <row r="314" spans="1:9" x14ac:dyDescent="0.35">
      <c r="A314" s="2" t="str">
        <f>CLEAN("BARRON")</f>
        <v>BARRON</v>
      </c>
      <c r="B314" s="2" t="str">
        <f>CLEAN("CITY OF CUMBERLAND")</f>
        <v>CITY OF CUMBERLAND</v>
      </c>
      <c r="C314" s="2" t="s">
        <v>1502</v>
      </c>
      <c r="D314" s="2" t="str">
        <f>CLEAN("1550-04-09")</f>
        <v>1550-04-09</v>
      </c>
      <c r="E314" s="3" t="str">
        <f>CLEAN("C CUMBERLAND  SUPERIOR AVENUE")</f>
        <v>C CUMBERLAND  SUPERIOR AVENUE</v>
      </c>
      <c r="F314" s="3" t="str">
        <f>CLEAN("BEAVER DAM LAKE C-03-1459")</f>
        <v>BEAVER DAM LAKE C-03-1459</v>
      </c>
      <c r="G314" s="3" t="str">
        <f>CLEAN("DESIGN - FULL PS&amp;E NEW BRIDGE")</f>
        <v>DESIGN - FULL PS&amp;E NEW BRIDGE</v>
      </c>
      <c r="H314" s="2" t="str">
        <f>CLEAN("USH 063")</f>
        <v>USH 063</v>
      </c>
      <c r="I314" s="2" t="str">
        <f t="shared" si="53"/>
        <v>303</v>
      </c>
    </row>
    <row r="315" spans="1:9" x14ac:dyDescent="0.35">
      <c r="A315" s="2" t="str">
        <f>CLEAN("BARRON")</f>
        <v>BARRON</v>
      </c>
      <c r="B315" s="2" t="str">
        <f>CLEAN("CITY OF CUMBERLAND")</f>
        <v>CITY OF CUMBERLAND</v>
      </c>
      <c r="C315" s="2" t="s">
        <v>3174</v>
      </c>
      <c r="D315" s="2" t="str">
        <f>CLEAN("1550-04-22")</f>
        <v>1550-04-22</v>
      </c>
      <c r="E315" s="3" t="str">
        <f>CLEAN("C CUMBERLAND  SUPERIOR AVENUE")</f>
        <v>C CUMBERLAND  SUPERIOR AVENUE</v>
      </c>
      <c r="F315" s="3" t="str">
        <f>CLEAN("BEAVER DAM LAKE C-03-1459")</f>
        <v>BEAVER DAM LAKE C-03-1459</v>
      </c>
      <c r="G315" s="3" t="str">
        <f>CLEAN("REAL ESTATE ACQUISTION/1550-04-79")</f>
        <v>REAL ESTATE ACQUISTION/1550-04-79</v>
      </c>
      <c r="H315" s="2" t="str">
        <f>CLEAN("USH 063")</f>
        <v>USH 063</v>
      </c>
      <c r="I315" s="2" t="str">
        <f t="shared" si="53"/>
        <v>303</v>
      </c>
    </row>
    <row r="316" spans="1:9" x14ac:dyDescent="0.35">
      <c r="A316" s="2" t="str">
        <f>CLEAN("BARRON")</f>
        <v>BARRON</v>
      </c>
      <c r="B316" s="2" t="str">
        <f>CLEAN("CITY OF CUMBERLAND")</f>
        <v>CITY OF CUMBERLAND</v>
      </c>
      <c r="C316" s="2" t="s">
        <v>1367</v>
      </c>
      <c r="D316" s="2" t="str">
        <f>CLEAN("1550-04-74")</f>
        <v>1550-04-74</v>
      </c>
      <c r="E316" s="3" t="str">
        <f>CLEAN("C CUMBERLAND  ELM ST AND 2ND AVE")</f>
        <v>C CUMBERLAND  ELM ST AND 2ND AVE</v>
      </c>
      <c r="F316" s="3" t="str">
        <f>CLEAN("WEST JUNCTION STH 48 TO CHARRIE LN")</f>
        <v>WEST JUNCTION STH 48 TO CHARRIE LN</v>
      </c>
      <c r="G316" s="3" t="str">
        <f>CLEAN("CONSTRUCTION/RESURFACING")</f>
        <v>CONSTRUCTION/RESURFACING</v>
      </c>
      <c r="H316" s="2" t="str">
        <f>CLEAN("USH 063")</f>
        <v>USH 063</v>
      </c>
      <c r="I316" s="2" t="str">
        <f t="shared" si="53"/>
        <v>303</v>
      </c>
    </row>
    <row r="317" spans="1:9" x14ac:dyDescent="0.35">
      <c r="A317" s="2" t="str">
        <f>CLEAN("BARRON")</f>
        <v>BARRON</v>
      </c>
      <c r="B317" s="2" t="str">
        <f>CLEAN("CITY OF CUMBERLAND")</f>
        <v>CITY OF CUMBERLAND</v>
      </c>
      <c r="C317" s="2" t="s">
        <v>1291</v>
      </c>
      <c r="D317" s="2" t="str">
        <f>CLEAN("1550-04-79")</f>
        <v>1550-04-79</v>
      </c>
      <c r="E317" s="3" t="str">
        <f>CLEAN("C CUMBERLAND  SUPERIOR AVENUE")</f>
        <v>C CUMBERLAND  SUPERIOR AVENUE</v>
      </c>
      <c r="F317" s="3" t="str">
        <f>CLEAN("BEAVER DAM LAKE B-03-0214")</f>
        <v>BEAVER DAM LAKE B-03-0214</v>
      </c>
      <c r="G317" s="3" t="str">
        <f>CLEAN("CONSTRUCTION/NEW BRIDGE")</f>
        <v>CONSTRUCTION/NEW BRIDGE</v>
      </c>
      <c r="H317" s="2" t="str">
        <f>CLEAN("USH 063")</f>
        <v>USH 063</v>
      </c>
      <c r="I317" s="2" t="str">
        <f t="shared" si="53"/>
        <v>303</v>
      </c>
    </row>
    <row r="318" spans="1:9" x14ac:dyDescent="0.35">
      <c r="A318" s="2" t="str">
        <f>CLEAN("LAFAYETTE")</f>
        <v>LAFAYETTE</v>
      </c>
      <c r="B318" s="2" t="str">
        <f>CLEAN("CITY OF DARLINGTON")</f>
        <v>CITY OF DARLINGTON</v>
      </c>
      <c r="C318" s="2" t="s">
        <v>360</v>
      </c>
      <c r="D318" s="2" t="str">
        <f>CLEAN("5245-02-75")</f>
        <v>5245-02-75</v>
      </c>
      <c r="E318" s="3" t="str">
        <f>CLEAN("STH 11 - MINERAL POINT")</f>
        <v>STH 11 - MINERAL POINT</v>
      </c>
      <c r="F318" s="3" t="str">
        <f>CLEAN("COUNTY SHOP ROAD TO MINERVA STREET")</f>
        <v>COUNTY SHOP ROAD TO MINERVA STREET</v>
      </c>
      <c r="G318" s="3" t="str">
        <f>CLEAN("CONST/ WATER MAIN &amp; SANITARY SEWER")</f>
        <v>CONST/ WATER MAIN &amp; SANITARY SEWER</v>
      </c>
      <c r="H318" s="2" t="str">
        <f>CLEAN("STH 023")</f>
        <v>STH 023</v>
      </c>
      <c r="I318" s="2" t="str">
        <f t="shared" si="53"/>
        <v>303</v>
      </c>
    </row>
    <row r="319" spans="1:9" x14ac:dyDescent="0.35">
      <c r="A319" s="2" t="str">
        <f>CLEAN("LAFAYETTE")</f>
        <v>LAFAYETTE</v>
      </c>
      <c r="B319" s="2" t="str">
        <f>CLEAN("CITY OF DARLINGTON")</f>
        <v>CITY OF DARLINGTON</v>
      </c>
      <c r="C319" s="2" t="s">
        <v>339</v>
      </c>
      <c r="D319" s="2" t="str">
        <f>CLEAN("5944-04-74")</f>
        <v>5944-04-74</v>
      </c>
      <c r="E319" s="3" t="str">
        <f>CLEAN("DARLINGTON - ARGYLE")</f>
        <v>DARLINGTON - ARGYLE</v>
      </c>
      <c r="F319" s="3" t="str">
        <f>CLEAN("STH 23 TO WILDCAT ROAD")</f>
        <v>STH 23 TO WILDCAT ROAD</v>
      </c>
      <c r="G319" s="3" t="str">
        <f>CLEAN("CONST/ MILL AND OVERLAY")</f>
        <v>CONST/ MILL AND OVERLAY</v>
      </c>
      <c r="H319" s="2" t="str">
        <f>CLEAN("STH 081")</f>
        <v>STH 081</v>
      </c>
      <c r="I319" s="2" t="str">
        <f t="shared" si="53"/>
        <v>303</v>
      </c>
    </row>
    <row r="320" spans="1:9" x14ac:dyDescent="0.35">
      <c r="A320" s="2" t="str">
        <f>CLEAN("BROWN")</f>
        <v>BROWN</v>
      </c>
      <c r="B320" s="2" t="str">
        <f>CLEAN("CITY OF DE PERE")</f>
        <v>CITY OF DE PERE</v>
      </c>
      <c r="C320" s="2" t="s">
        <v>864</v>
      </c>
      <c r="D320" s="2" t="str">
        <f>CLEAN("1130-68-77")</f>
        <v>1130-68-77</v>
      </c>
      <c r="E320" s="3" t="str">
        <f>CLEAN("APPLETON - DE PERE")</f>
        <v>APPLETON - DE PERE</v>
      </c>
      <c r="F320" s="3" t="str">
        <f>CLEAN("SBC INTERCHANGE")</f>
        <v>SBC INTERCHANGE</v>
      </c>
      <c r="G320" s="3" t="str">
        <f>CLEAN("CONST/RECSTE SBC INTCHG B050696")</f>
        <v>CONST/RECSTE SBC INTCHG B050696</v>
      </c>
      <c r="H320" s="2" t="str">
        <f>CLEAN("LOC STR")</f>
        <v>LOC STR</v>
      </c>
      <c r="I320" s="2" t="str">
        <f>CLEAN("302")</f>
        <v>302</v>
      </c>
    </row>
    <row r="321" spans="1:9" x14ac:dyDescent="0.35">
      <c r="A321" s="2" t="str">
        <f>CLEAN("BROWN")</f>
        <v>BROWN</v>
      </c>
      <c r="B321" s="2" t="str">
        <f>CLEAN("CITY OF DE PERE")</f>
        <v>CITY OF DE PERE</v>
      </c>
      <c r="C321" s="2" t="s">
        <v>863</v>
      </c>
      <c r="D321" s="2" t="str">
        <f>CLEAN("1130-68-81")</f>
        <v>1130-68-81</v>
      </c>
      <c r="E321" s="3" t="str">
        <f>CLEAN("APPLETON - DE PERE")</f>
        <v>APPLETON - DE PERE</v>
      </c>
      <c r="F321" s="3" t="str">
        <f>CLEAN("SBC EARLY FILL AND FRONTAGE ROADS")</f>
        <v>SBC EARLY FILL AND FRONTAGE ROADS</v>
      </c>
      <c r="G321" s="3" t="str">
        <f>CLEAN("CONST/RECSTE SBC FRONTAGE ROADS")</f>
        <v>CONST/RECSTE SBC FRONTAGE ROADS</v>
      </c>
      <c r="H321" s="2" t="str">
        <f>CLEAN("LOC STR")</f>
        <v>LOC STR</v>
      </c>
      <c r="I321" s="2" t="str">
        <f>CLEAN("302")</f>
        <v>302</v>
      </c>
    </row>
    <row r="322" spans="1:9" x14ac:dyDescent="0.35">
      <c r="A322" s="2" t="str">
        <f>CLEAN("BROWN")</f>
        <v>BROWN</v>
      </c>
      <c r="B322" s="2" t="str">
        <f>CLEAN("CITY OF DE PERE")</f>
        <v>CITY OF DE PERE</v>
      </c>
      <c r="C322" s="2" t="s">
        <v>2422</v>
      </c>
      <c r="D322" s="2" t="str">
        <f>CLEAN("4085-65-01")</f>
        <v>4085-65-01</v>
      </c>
      <c r="E322" s="3" t="str">
        <f>CLEAN("BROADWAY STREET  C OF DE PERE")</f>
        <v>BROADWAY STREET  C OF DE PERE</v>
      </c>
      <c r="F322" s="3" t="str">
        <f>CLEAN("COOK STREET - MERRILL STREET")</f>
        <v>COOK STREET - MERRILL STREET</v>
      </c>
      <c r="G322" s="3" t="str">
        <f>CLEAN("DSGN/FULL PSE/RSRF20")</f>
        <v>DSGN/FULL PSE/RSRF20</v>
      </c>
      <c r="H322" s="2" t="str">
        <f>CLEAN("STH 032")</f>
        <v>STH 032</v>
      </c>
      <c r="I322" s="2" t="str">
        <f>CLEAN("303")</f>
        <v>303</v>
      </c>
    </row>
    <row r="323" spans="1:9" x14ac:dyDescent="0.35">
      <c r="A323" s="2" t="str">
        <f>CLEAN("BROWN")</f>
        <v>BROWN</v>
      </c>
      <c r="B323" s="2" t="str">
        <f>CLEAN("CITY OF DE PERE")</f>
        <v>CITY OF DE PERE</v>
      </c>
      <c r="C323" s="2" t="s">
        <v>2465</v>
      </c>
      <c r="D323" s="2" t="str">
        <f>CLEAN("4190-17-00")</f>
        <v>4190-17-00</v>
      </c>
      <c r="E323" s="3" t="str">
        <f>CLEAN("MAIN &amp; REID ST  C DEPERE")</f>
        <v>MAIN &amp; REID ST  C DEPERE</v>
      </c>
      <c r="F323" s="3" t="str">
        <f>CLEAN("3RD ST - 8TH ST")</f>
        <v>3RD ST - 8TH ST</v>
      </c>
      <c r="G323" s="3" t="str">
        <f>CLEAN("DSN/FULL PSE/PVRPLA")</f>
        <v>DSN/FULL PSE/PVRPLA</v>
      </c>
      <c r="H323" s="2" t="str">
        <f>CLEAN("STH 032")</f>
        <v>STH 032</v>
      </c>
      <c r="I323" s="2" t="str">
        <f>CLEAN("303")</f>
        <v>303</v>
      </c>
    </row>
    <row r="324" spans="1:9" x14ac:dyDescent="0.35">
      <c r="A324" s="2" t="str">
        <f>CLEAN("BROWN")</f>
        <v>BROWN</v>
      </c>
      <c r="B324" s="2" t="str">
        <f>CLEAN("CITY OF DE PERE")</f>
        <v>CITY OF DE PERE</v>
      </c>
      <c r="C324" s="2" t="s">
        <v>2410</v>
      </c>
      <c r="D324" s="2" t="str">
        <f>CLEAN("4985-00-61")</f>
        <v>4985-00-61</v>
      </c>
      <c r="E324" s="3" t="str">
        <f>CLEAN("C DEPERE  LAWRENCE DRIVE")</f>
        <v>C DEPERE  LAWRENCE DRIVE</v>
      </c>
      <c r="F324" s="3" t="str">
        <f>CLEAN("FORTUNE AVENUE TO SCHEURING ROAD")</f>
        <v>FORTUNE AVENUE TO SCHEURING ROAD</v>
      </c>
      <c r="G324" s="3" t="str">
        <f>CLEAN("DSGN/FULL PSE/RECST")</f>
        <v>DSGN/FULL PSE/RECST</v>
      </c>
      <c r="H324" s="2" t="str">
        <f>CLEAN("LOC STR")</f>
        <v>LOC STR</v>
      </c>
      <c r="I324" s="2" t="str">
        <f>CLEAN("206")</f>
        <v>206</v>
      </c>
    </row>
    <row r="325" spans="1:9" x14ac:dyDescent="0.35">
      <c r="A325" s="2" t="str">
        <f>CLEAN("WALWORTH")</f>
        <v>WALWORTH</v>
      </c>
      <c r="B325" s="2" t="str">
        <f>CLEAN("CITY OF DELAVAN")</f>
        <v>CITY OF DELAVAN</v>
      </c>
      <c r="C325" s="2" t="s">
        <v>2763</v>
      </c>
      <c r="D325" s="2" t="str">
        <f>CLEAN("3841-06-01")</f>
        <v>3841-06-01</v>
      </c>
      <c r="E325" s="3" t="str">
        <f>CLEAN("C DELAVAN  RACINE ST")</f>
        <v>C DELAVAN  RACINE ST</v>
      </c>
      <c r="F325" s="3" t="str">
        <f>CLEAN("WRIGHT ST TO MOUND RD")</f>
        <v>WRIGHT ST TO MOUND RD</v>
      </c>
      <c r="G325" s="3" t="str">
        <f>CLEAN("PE/FULL PS&amp;E/PVRPLA")</f>
        <v>PE/FULL PS&amp;E/PVRPLA</v>
      </c>
      <c r="H325" s="2" t="str">
        <f>CLEAN("STH 011")</f>
        <v>STH 011</v>
      </c>
      <c r="I325" s="2" t="str">
        <f>CLEAN("303")</f>
        <v>303</v>
      </c>
    </row>
    <row r="326" spans="1:9" x14ac:dyDescent="0.35">
      <c r="A326" s="2" t="str">
        <f>CLEAN("WALWORTH")</f>
        <v>WALWORTH</v>
      </c>
      <c r="B326" s="2" t="str">
        <f>CLEAN("CITY OF DELAVAN")</f>
        <v>CITY OF DELAVAN</v>
      </c>
      <c r="C326" s="2" t="s">
        <v>3142</v>
      </c>
      <c r="D326" s="2" t="str">
        <f>CLEAN("3841-06-22")</f>
        <v>3841-06-22</v>
      </c>
      <c r="E326" s="3" t="str">
        <f>CLEAN("C DELAVAN  RACINE ST")</f>
        <v>C DELAVAN  RACINE ST</v>
      </c>
      <c r="F326" s="3" t="str">
        <f>CLEAN("WRIGHT ST TO MOUND RD")</f>
        <v>WRIGHT ST TO MOUND RD</v>
      </c>
      <c r="G326" s="3" t="str">
        <f>CLEAN("RE/PVRPLA")</f>
        <v>RE/PVRPLA</v>
      </c>
      <c r="H326" s="2" t="str">
        <f>CLEAN("STH 011")</f>
        <v>STH 011</v>
      </c>
      <c r="I326" s="2" t="str">
        <f>CLEAN("303")</f>
        <v>303</v>
      </c>
    </row>
    <row r="327" spans="1:9" x14ac:dyDescent="0.35">
      <c r="A327" s="2" t="str">
        <f>CLEAN("WALWORTH")</f>
        <v>WALWORTH</v>
      </c>
      <c r="B327" s="2" t="str">
        <f>CLEAN("CITY OF DELAVAN")</f>
        <v>CITY OF DELAVAN</v>
      </c>
      <c r="C327" s="2" t="s">
        <v>3053</v>
      </c>
      <c r="D327" s="2" t="str">
        <f>CLEAN("3841-05-00")</f>
        <v>3841-05-00</v>
      </c>
      <c r="E327" s="3" t="str">
        <f>CLEAN("C DELAVAN WRIGHT STREET")</f>
        <v>C DELAVAN WRIGHT STREET</v>
      </c>
      <c r="F327" s="3" t="str">
        <f>CLEAN("RACINE ST (STH 11) TO HOBBS DRIVE")</f>
        <v>RACINE ST (STH 11) TO HOBBS DRIVE</v>
      </c>
      <c r="G327" s="3" t="str">
        <f>CLEAN("PE-FULL PS&amp;E-RCND20")</f>
        <v>PE-FULL PS&amp;E-RCND20</v>
      </c>
      <c r="H327" s="2" t="str">
        <f>CLEAN("LOC STR")</f>
        <v>LOC STR</v>
      </c>
      <c r="I327" s="2" t="str">
        <f>CLEAN("206")</f>
        <v>206</v>
      </c>
    </row>
    <row r="328" spans="1:9" x14ac:dyDescent="0.35">
      <c r="A328" s="2" t="str">
        <f>CLEAN("WALWORTH")</f>
        <v>WALWORTH</v>
      </c>
      <c r="B328" s="2" t="str">
        <f>CLEAN("CITY OF DELAVAN")</f>
        <v>CITY OF DELAVAN</v>
      </c>
      <c r="C328" s="2" t="s">
        <v>2774</v>
      </c>
      <c r="D328" s="2" t="str">
        <f>CLEAN("3841-06-00")</f>
        <v>3841-06-00</v>
      </c>
      <c r="E328" s="3" t="str">
        <f>CLEAN("C DELAVAN  E WALWORTH AVE")</f>
        <v>C DELAVAN  E WALWORTH AVE</v>
      </c>
      <c r="F328" s="3" t="str">
        <f>CLEAN("TURTLE CREEK DR-MAIN  4TH-WRIGHT ST")</f>
        <v>TURTLE CREEK DR-MAIN  4TH-WRIGHT ST</v>
      </c>
      <c r="G328" s="3" t="str">
        <f>CLEAN("PE/FULL PS&amp;E/RESURFACE")</f>
        <v>PE/FULL PS&amp;E/RESURFACE</v>
      </c>
      <c r="H328" s="2" t="str">
        <f>CLEAN("STH 011")</f>
        <v>STH 011</v>
      </c>
      <c r="I328" s="2" t="str">
        <f>CLEAN("303")</f>
        <v>303</v>
      </c>
    </row>
    <row r="329" spans="1:9" x14ac:dyDescent="0.35">
      <c r="A329" s="2" t="str">
        <f t="shared" ref="A329:A343" si="54">CLEAN("EAU CLAIRE")</f>
        <v>EAU CLAIRE</v>
      </c>
      <c r="B329" s="2" t="str">
        <f t="shared" ref="B329:B343" si="55">CLEAN("CITY OF EAU CLAIRE")</f>
        <v>CITY OF EAU CLAIRE</v>
      </c>
      <c r="C329" s="2" t="s">
        <v>1569</v>
      </c>
      <c r="D329" s="2" t="str">
        <f>CLEAN("7830-00-02")</f>
        <v>7830-00-02</v>
      </c>
      <c r="E329" s="3" t="str">
        <f>CLEAN("FOSTER - AUGUSTA")</f>
        <v>FOSTER - AUGUSTA</v>
      </c>
      <c r="F329" s="3" t="str">
        <f>CLEAN("BEARS GRASS CREEK BRIDGE P-18-0082")</f>
        <v>BEARS GRASS CREEK BRIDGE P-18-0082</v>
      </c>
      <c r="G329" s="3" t="str">
        <f>CLEAN("DESIGN - FULL PS&amp;E/BRRPL")</f>
        <v>DESIGN - FULL PS&amp;E/BRRPL</v>
      </c>
      <c r="H329" s="2" t="str">
        <f>CLEAN("CTH VV")</f>
        <v>CTH VV</v>
      </c>
      <c r="I329" s="2" t="str">
        <f>CLEAN("205")</f>
        <v>205</v>
      </c>
    </row>
    <row r="330" spans="1:9" x14ac:dyDescent="0.35">
      <c r="A330" s="2" t="str">
        <f t="shared" si="54"/>
        <v>EAU CLAIRE</v>
      </c>
      <c r="B330" s="2" t="str">
        <f t="shared" si="55"/>
        <v>CITY OF EAU CLAIRE</v>
      </c>
      <c r="C330" s="2" t="s">
        <v>2262</v>
      </c>
      <c r="D330" s="2" t="str">
        <f>CLEAN("7995-02-58")</f>
        <v>7995-02-58</v>
      </c>
      <c r="E330" s="3" t="str">
        <f>CLEAN("C EAU CLAIRE  FAIRFAX STREET")</f>
        <v>C EAU CLAIRE  FAIRFAX STREET</v>
      </c>
      <c r="F330" s="3" t="str">
        <f>CLEAN("S HASTINGS WAY TO SPOONER AVENUE")</f>
        <v>S HASTINGS WAY TO SPOONER AVENUE</v>
      </c>
      <c r="G330" s="3" t="str">
        <f>CLEAN("DESIGN/RECST")</f>
        <v>DESIGN/RECST</v>
      </c>
      <c r="H330" s="2" t="str">
        <f>CLEAN("LOC STR")</f>
        <v>LOC STR</v>
      </c>
      <c r="I330" s="2" t="str">
        <f>CLEAN("206")</f>
        <v>206</v>
      </c>
    </row>
    <row r="331" spans="1:9" x14ac:dyDescent="0.35">
      <c r="A331" s="2" t="str">
        <f t="shared" si="54"/>
        <v>EAU CLAIRE</v>
      </c>
      <c r="B331" s="2" t="str">
        <f t="shared" si="55"/>
        <v>CITY OF EAU CLAIRE</v>
      </c>
      <c r="C331" s="2" t="s">
        <v>2250</v>
      </c>
      <c r="D331" s="2" t="str">
        <f>CLEAN("7995-02-64")</f>
        <v>7995-02-64</v>
      </c>
      <c r="E331" s="3" t="str">
        <f>CLEAN("C EAU CLAIRE  S HASTINGS WAY")</f>
        <v>C EAU CLAIRE  S HASTINGS WAY</v>
      </c>
      <c r="F331" s="3" t="str">
        <f>CLEAN("GATEWAY DRIVE TO PINE LODGE ROAD")</f>
        <v>GATEWAY DRIVE TO PINE LODGE ROAD</v>
      </c>
      <c r="G331" s="3" t="str">
        <f>CLEAN("DESIGN/RECONSTRUCT")</f>
        <v>DESIGN/RECONSTRUCT</v>
      </c>
      <c r="H331" s="2" t="str">
        <f>CLEAN("LOC STR")</f>
        <v>LOC STR</v>
      </c>
      <c r="I331" s="2" t="str">
        <f>CLEAN("206")</f>
        <v>206</v>
      </c>
    </row>
    <row r="332" spans="1:9" x14ac:dyDescent="0.35">
      <c r="A332" s="2" t="str">
        <f t="shared" si="54"/>
        <v>EAU CLAIRE</v>
      </c>
      <c r="B332" s="2" t="str">
        <f t="shared" si="55"/>
        <v>CITY OF EAU CLAIRE</v>
      </c>
      <c r="C332" s="2" t="s">
        <v>2037</v>
      </c>
      <c r="D332" s="2" t="str">
        <f>CLEAN("7995-02-66")</f>
        <v>7995-02-66</v>
      </c>
      <c r="E332" s="3" t="str">
        <f>CLEAN("C EAU CLAIRE  VARIOUS LOCATIONS")</f>
        <v>C EAU CLAIRE  VARIOUS LOCATIONS</v>
      </c>
      <c r="F332" s="3" t="str">
        <f>CLEAN("CITY TRANSIT STOP IMPROVEMENTS")</f>
        <v>CITY TRANSIT STOP IMPROVEMENTS</v>
      </c>
      <c r="G332" s="3" t="str">
        <f>CLEAN("DESIGN/MISCELLANEOUS")</f>
        <v>DESIGN/MISCELLANEOUS</v>
      </c>
      <c r="H332" s="2" t="str">
        <f>CLEAN("VAR HWY")</f>
        <v>VAR HWY</v>
      </c>
      <c r="I332" s="2" t="str">
        <f>CLEAN("206")</f>
        <v>206</v>
      </c>
    </row>
    <row r="333" spans="1:9" x14ac:dyDescent="0.35">
      <c r="A333" s="2" t="str">
        <f t="shared" si="54"/>
        <v>EAU CLAIRE</v>
      </c>
      <c r="B333" s="2" t="str">
        <f t="shared" si="55"/>
        <v>CITY OF EAU CLAIRE</v>
      </c>
      <c r="C333" s="2" t="s">
        <v>1381</v>
      </c>
      <c r="D333" s="2" t="str">
        <f>CLEAN("7995-02-67")</f>
        <v>7995-02-67</v>
      </c>
      <c r="E333" s="3" t="str">
        <f>CLEAN("C EAU CLAIRE  VARIOUS LOCATIONS")</f>
        <v>C EAU CLAIRE  VARIOUS LOCATIONS</v>
      </c>
      <c r="F333" s="3" t="str">
        <f>CLEAN("CITY TRANSIT STOP IMPROVEMENTS")</f>
        <v>CITY TRANSIT STOP IMPROVEMENTS</v>
      </c>
      <c r="G333" s="3" t="str">
        <f>CLEAN("CONSTRUCTION/TRANSIT STOP IMPRVMNTS")</f>
        <v>CONSTRUCTION/TRANSIT STOP IMPRVMNTS</v>
      </c>
      <c r="H333" s="2" t="str">
        <f>CLEAN("VAR HWY")</f>
        <v>VAR HWY</v>
      </c>
      <c r="I333" s="2" t="str">
        <f>CLEAN("206")</f>
        <v>206</v>
      </c>
    </row>
    <row r="334" spans="1:9" x14ac:dyDescent="0.35">
      <c r="A334" s="2" t="str">
        <f t="shared" si="54"/>
        <v>EAU CLAIRE</v>
      </c>
      <c r="B334" s="2" t="str">
        <f t="shared" si="55"/>
        <v>CITY OF EAU CLAIRE</v>
      </c>
      <c r="C334" s="2" t="s">
        <v>2337</v>
      </c>
      <c r="D334" s="2" t="str">
        <f>CLEAN("7995-02-68")</f>
        <v>7995-02-68</v>
      </c>
      <c r="E334" s="3" t="str">
        <f>CLEAN("C EAU CLAIRE  HALF MOON TRAIL")</f>
        <v>C EAU CLAIRE  HALF MOON TRAIL</v>
      </c>
      <c r="F334" s="3" t="str">
        <f>CLEAN("MADISON STREET TO FOLSOM STREET")</f>
        <v>MADISON STREET TO FOLSOM STREET</v>
      </c>
      <c r="G334" s="3" t="str">
        <f>CLEAN("DESIGN-FULL PS&amp;E/TAP/BIKE PED TRAIL")</f>
        <v>DESIGN-FULL PS&amp;E/TAP/BIKE PED TRAIL</v>
      </c>
      <c r="H334" s="2" t="str">
        <f>CLEAN("OFF SYS")</f>
        <v>OFF SYS</v>
      </c>
      <c r="I334" s="2" t="str">
        <f>CLEAN("290")</f>
        <v>290</v>
      </c>
    </row>
    <row r="335" spans="1:9" x14ac:dyDescent="0.35">
      <c r="A335" s="2" t="str">
        <f t="shared" si="54"/>
        <v>EAU CLAIRE</v>
      </c>
      <c r="B335" s="2" t="str">
        <f t="shared" si="55"/>
        <v>CITY OF EAU CLAIRE</v>
      </c>
      <c r="C335" s="2" t="s">
        <v>1380</v>
      </c>
      <c r="D335" s="2" t="str">
        <f>CLEAN("7995-02-69")</f>
        <v>7995-02-69</v>
      </c>
      <c r="E335" s="3" t="str">
        <f>CLEAN("C EAU CLAIRE  HALF MOON TRAIL")</f>
        <v>C EAU CLAIRE  HALF MOON TRAIL</v>
      </c>
      <c r="F335" s="3" t="str">
        <f>CLEAN("MADISON STREET TO FOLSOM STREET")</f>
        <v>MADISON STREET TO FOLSOM STREET</v>
      </c>
      <c r="G335" s="3" t="str">
        <f>CLEAN("CONSTRUCTION/TAP/BIKE PED TRAIL")</f>
        <v>CONSTRUCTION/TAP/BIKE PED TRAIL</v>
      </c>
      <c r="H335" s="2" t="str">
        <f>CLEAN("OFF SYS")</f>
        <v>OFF SYS</v>
      </c>
      <c r="I335" s="2" t="str">
        <f>CLEAN("290")</f>
        <v>290</v>
      </c>
    </row>
    <row r="336" spans="1:9" x14ac:dyDescent="0.35">
      <c r="A336" s="2" t="str">
        <f t="shared" si="54"/>
        <v>EAU CLAIRE</v>
      </c>
      <c r="B336" s="2" t="str">
        <f t="shared" si="55"/>
        <v>CITY OF EAU CLAIRE</v>
      </c>
      <c r="C336" s="2" t="s">
        <v>3065</v>
      </c>
      <c r="D336" s="2" t="str">
        <f>CLEAN("7995-02-72")</f>
        <v>7995-02-72</v>
      </c>
      <c r="E336" s="3" t="str">
        <f>CLEAN("C EAU CLAIRE  VARIOUS HIGHWAYS")</f>
        <v>C EAU CLAIRE  VARIOUS HIGHWAYS</v>
      </c>
      <c r="F336" s="3" t="str">
        <f>CLEAN("STH 93  312 &amp; USH 12 CURB RAMPS")</f>
        <v>STH 93  312 &amp; USH 12 CURB RAMPS</v>
      </c>
      <c r="G336" s="3" t="str">
        <f>CLEAN("PER WISDOT ADA TRANS PLAN 331 RAMPS")</f>
        <v>PER WISDOT ADA TRANS PLAN 331 RAMPS</v>
      </c>
      <c r="H336" s="2" t="str">
        <f>CLEAN("VAR HWY")</f>
        <v>VAR HWY</v>
      </c>
      <c r="I336" s="2" t="str">
        <f>CLEAN("303")</f>
        <v>303</v>
      </c>
    </row>
    <row r="337" spans="1:9" x14ac:dyDescent="0.35">
      <c r="A337" s="2" t="str">
        <f t="shared" si="54"/>
        <v>EAU CLAIRE</v>
      </c>
      <c r="B337" s="2" t="str">
        <f t="shared" si="55"/>
        <v>CITY OF EAU CLAIRE</v>
      </c>
      <c r="C337" s="2" t="s">
        <v>1690</v>
      </c>
      <c r="D337" s="2" t="str">
        <f>CLEAN("7995-02-73")</f>
        <v>7995-02-73</v>
      </c>
      <c r="E337" s="3" t="str">
        <f>CLEAN("C EAU CLAIRE  COUNTY LINE RD")</f>
        <v>C EAU CLAIRE  COUNTY LINE RD</v>
      </c>
      <c r="F337" s="3" t="str">
        <f>CLEAN("2800 W OF JEFFERS RD TO JEFFERS RD")</f>
        <v>2800 W OF JEFFERS RD TO JEFFERS RD</v>
      </c>
      <c r="G337" s="3" t="str">
        <f>CLEAN("DESIGN FULL PS&amp;E/RECONSTRUCTION")</f>
        <v>DESIGN FULL PS&amp;E/RECONSTRUCTION</v>
      </c>
      <c r="H337" s="2" t="str">
        <f t="shared" ref="H337:H343" si="56">CLEAN("LOC STR")</f>
        <v>LOC STR</v>
      </c>
      <c r="I337" s="2" t="str">
        <f>CLEAN("206")</f>
        <v>206</v>
      </c>
    </row>
    <row r="338" spans="1:9" x14ac:dyDescent="0.35">
      <c r="A338" s="2" t="str">
        <f t="shared" si="54"/>
        <v>EAU CLAIRE</v>
      </c>
      <c r="B338" s="2" t="str">
        <f t="shared" si="55"/>
        <v>CITY OF EAU CLAIRE</v>
      </c>
      <c r="C338" s="2" t="s">
        <v>1323</v>
      </c>
      <c r="D338" s="2" t="str">
        <f>CLEAN("7995-02-74")</f>
        <v>7995-02-74</v>
      </c>
      <c r="E338" s="3" t="str">
        <f>CLEAN("C EAU CLAIRE  COUNTY LINE RD")</f>
        <v>C EAU CLAIRE  COUNTY LINE RD</v>
      </c>
      <c r="F338" s="3" t="str">
        <f>CLEAN("2800 W OF JEFFERS RD TO JEFFERS RD")</f>
        <v>2800 W OF JEFFERS RD TO JEFFERS RD</v>
      </c>
      <c r="G338" s="3" t="str">
        <f>CLEAN("CONSTRUCTION/RECONSTRUCTION")</f>
        <v>CONSTRUCTION/RECONSTRUCTION</v>
      </c>
      <c r="H338" s="2" t="str">
        <f t="shared" si="56"/>
        <v>LOC STR</v>
      </c>
      <c r="I338" s="2" t="str">
        <f>CLEAN("206")</f>
        <v>206</v>
      </c>
    </row>
    <row r="339" spans="1:9" x14ac:dyDescent="0.35">
      <c r="A339" s="2" t="str">
        <f t="shared" si="54"/>
        <v>EAU CLAIRE</v>
      </c>
      <c r="B339" s="2" t="str">
        <f t="shared" si="55"/>
        <v>CITY OF EAU CLAIRE</v>
      </c>
      <c r="C339" s="2" t="s">
        <v>1691</v>
      </c>
      <c r="D339" s="2" t="str">
        <f>CLEAN("7995-02-75")</f>
        <v>7995-02-75</v>
      </c>
      <c r="E339" s="3" t="str">
        <f>CLEAN("C EAU CLAIRE  E HAMILTON AVE")</f>
        <v>C EAU CLAIRE  E HAMILTON AVE</v>
      </c>
      <c r="F339" s="3" t="str">
        <f>CLEAN("HORLACHER LN TO GATEWAY DR")</f>
        <v>HORLACHER LN TO GATEWAY DR</v>
      </c>
      <c r="G339" s="3" t="str">
        <f>CLEAN("DESIGN FULL PS&amp;E/RECOSTRUCTION")</f>
        <v>DESIGN FULL PS&amp;E/RECOSTRUCTION</v>
      </c>
      <c r="H339" s="2" t="str">
        <f t="shared" si="56"/>
        <v>LOC STR</v>
      </c>
      <c r="I339" s="2" t="str">
        <f>CLEAN("206")</f>
        <v>206</v>
      </c>
    </row>
    <row r="340" spans="1:9" x14ac:dyDescent="0.35">
      <c r="A340" s="2" t="str">
        <f t="shared" si="54"/>
        <v>EAU CLAIRE</v>
      </c>
      <c r="B340" s="2" t="str">
        <f t="shared" si="55"/>
        <v>CITY OF EAU CLAIRE</v>
      </c>
      <c r="C340" s="2" t="s">
        <v>1327</v>
      </c>
      <c r="D340" s="2" t="str">
        <f>CLEAN("7995-02-76")</f>
        <v>7995-02-76</v>
      </c>
      <c r="E340" s="3" t="str">
        <f>CLEAN("C EAU CLAIRE  E HAMILTON AVE")</f>
        <v>C EAU CLAIRE  E HAMILTON AVE</v>
      </c>
      <c r="F340" s="3" t="str">
        <f>CLEAN("HORLACHER LN TO GATEWAY DR")</f>
        <v>HORLACHER LN TO GATEWAY DR</v>
      </c>
      <c r="G340" s="3" t="str">
        <f>CLEAN("CONSTRUCTION/RECONSTRUCTION")</f>
        <v>CONSTRUCTION/RECONSTRUCTION</v>
      </c>
      <c r="H340" s="2" t="str">
        <f t="shared" si="56"/>
        <v>LOC STR</v>
      </c>
      <c r="I340" s="2" t="str">
        <f>CLEAN("206")</f>
        <v>206</v>
      </c>
    </row>
    <row r="341" spans="1:9" x14ac:dyDescent="0.35">
      <c r="A341" s="2" t="str">
        <f t="shared" si="54"/>
        <v>EAU CLAIRE</v>
      </c>
      <c r="B341" s="2" t="str">
        <f t="shared" si="55"/>
        <v>CITY OF EAU CLAIRE</v>
      </c>
      <c r="C341" s="2" t="s">
        <v>1585</v>
      </c>
      <c r="D341" s="2" t="str">
        <f>CLEAN("7995-02-79")</f>
        <v>7995-02-79</v>
      </c>
      <c r="E341" s="3" t="str">
        <f>CLEAN("C EAU CLAIRE  DEWEY ST")</f>
        <v>C EAU CLAIRE  DEWEY ST</v>
      </c>
      <c r="F341" s="3" t="str">
        <f>CLEAN("EAU CLAIRE RIVER BRIDGE B-18-0093")</f>
        <v>EAU CLAIRE RIVER BRIDGE B-18-0093</v>
      </c>
      <c r="G341" s="3" t="str">
        <f>CLEAN("DESIGN - FULL PS&amp;E/BRRPL")</f>
        <v>DESIGN - FULL PS&amp;E/BRRPL</v>
      </c>
      <c r="H341" s="2" t="str">
        <f t="shared" si="56"/>
        <v>LOC STR</v>
      </c>
      <c r="I341" s="2" t="str">
        <f>CLEAN("205")</f>
        <v>205</v>
      </c>
    </row>
    <row r="342" spans="1:9" x14ac:dyDescent="0.35">
      <c r="A342" s="2" t="str">
        <f t="shared" si="54"/>
        <v>EAU CLAIRE</v>
      </c>
      <c r="B342" s="2" t="str">
        <f t="shared" si="55"/>
        <v>CITY OF EAU CLAIRE</v>
      </c>
      <c r="C342" s="2" t="s">
        <v>1654</v>
      </c>
      <c r="D342" s="2" t="str">
        <f>CLEAN("7995-02-85")</f>
        <v>7995-02-85</v>
      </c>
      <c r="E342" s="3" t="str">
        <f>CLEAN("C EAU CLAIRE  PRAIRIE LANE")</f>
        <v>C EAU CLAIRE  PRAIRIE LANE</v>
      </c>
      <c r="F342" s="3" t="str">
        <f>CLEAN("PROSPECT DRIVE TO JEFFERS ROAD")</f>
        <v>PROSPECT DRIVE TO JEFFERS ROAD</v>
      </c>
      <c r="G342" s="3" t="str">
        <f>CLEAN("DESIGN - FULL PS&amp;E/RECONSTRUCTION")</f>
        <v>DESIGN - FULL PS&amp;E/RECONSTRUCTION</v>
      </c>
      <c r="H342" s="2" t="str">
        <f t="shared" si="56"/>
        <v>LOC STR</v>
      </c>
      <c r="I342" s="2" t="str">
        <f>CLEAN("206")</f>
        <v>206</v>
      </c>
    </row>
    <row r="343" spans="1:9" x14ac:dyDescent="0.35">
      <c r="A343" s="2" t="str">
        <f t="shared" si="54"/>
        <v>EAU CLAIRE</v>
      </c>
      <c r="B343" s="2" t="str">
        <f t="shared" si="55"/>
        <v>CITY OF EAU CLAIRE</v>
      </c>
      <c r="C343" s="2" t="s">
        <v>1676</v>
      </c>
      <c r="D343" s="2" t="str">
        <f>CLEAN("7995-02-92")</f>
        <v>7995-02-92</v>
      </c>
      <c r="E343" s="3" t="str">
        <f>CLEAN("C EAU CLAIRE  BIRCH STREET")</f>
        <v>C EAU CLAIRE  BIRCH STREET</v>
      </c>
      <c r="F343" s="3" t="str">
        <f>CLEAN("HASTINGS WAY INTERSECTION")</f>
        <v>HASTINGS WAY INTERSECTION</v>
      </c>
      <c r="G343" s="3" t="str">
        <f>CLEAN("DESIGN - FULL PS&amp;E/SAFETY")</f>
        <v>DESIGN - FULL PS&amp;E/SAFETY</v>
      </c>
      <c r="H343" s="2" t="str">
        <f t="shared" si="56"/>
        <v>LOC STR</v>
      </c>
      <c r="I343" s="2" t="str">
        <f>CLEAN("206")</f>
        <v>206</v>
      </c>
    </row>
    <row r="344" spans="1:9" x14ac:dyDescent="0.35">
      <c r="A344" s="2" t="str">
        <f t="shared" ref="A344:A349" si="57">CLEAN("ROCK")</f>
        <v>ROCK</v>
      </c>
      <c r="B344" s="2" t="str">
        <f t="shared" ref="B344:B349" si="58">CLEAN("CITY OF EDGERTON")</f>
        <v>CITY OF EDGERTON</v>
      </c>
      <c r="C344" s="2" t="s">
        <v>2304</v>
      </c>
      <c r="D344" s="2" t="str">
        <f>CLEAN("5650-01-06")</f>
        <v>5650-01-06</v>
      </c>
      <c r="E344" s="3" t="str">
        <f>CLEAN("C EDGERTON  MENHALL &amp; W FULTON ST")</f>
        <v>C EDGERTON  MENHALL &amp; W FULTON ST</v>
      </c>
      <c r="F344" s="3" t="str">
        <f>CLEAN("HAIN ROAD TO HEAD STREET")</f>
        <v>HAIN ROAD TO HEAD STREET</v>
      </c>
      <c r="G344" s="3" t="str">
        <f>CLEAN("DESIGN-FULL PS&amp;E PVRPLA")</f>
        <v>DESIGN-FULL PS&amp;E PVRPLA</v>
      </c>
      <c r="H344" s="2" t="str">
        <f>CLEAN("STH 059")</f>
        <v>STH 059</v>
      </c>
      <c r="I344" s="2" t="str">
        <f>CLEAN("303")</f>
        <v>303</v>
      </c>
    </row>
    <row r="345" spans="1:9" x14ac:dyDescent="0.35">
      <c r="A345" s="2" t="str">
        <f t="shared" si="57"/>
        <v>ROCK</v>
      </c>
      <c r="B345" s="2" t="str">
        <f t="shared" si="58"/>
        <v>CITY OF EDGERTON</v>
      </c>
      <c r="C345" s="2" t="s">
        <v>2146</v>
      </c>
      <c r="D345" s="2" t="str">
        <f>CLEAN("5650-00-02")</f>
        <v>5650-00-02</v>
      </c>
      <c r="E345" s="3" t="str">
        <f>CLEAN("C EDGERTON GEAR DR/TOWER DR/ARTISAN")</f>
        <v>C EDGERTON GEAR DR/TOWER DR/ARTISAN</v>
      </c>
      <c r="F345" s="3" t="str">
        <f>CLEAN("MARSHVIEW CT. TO W FULTON ST")</f>
        <v>MARSHVIEW CT. TO W FULTON ST</v>
      </c>
      <c r="G345" s="3" t="str">
        <f>CLEAN("DESIGN/PLAN CHECK REVIEW/PVRPLA")</f>
        <v>DESIGN/PLAN CHECK REVIEW/PVRPLA</v>
      </c>
      <c r="H345" s="2" t="str">
        <f>CLEAN("LOC STR")</f>
        <v>LOC STR</v>
      </c>
      <c r="I345" s="2" t="str">
        <f>CLEAN("206")</f>
        <v>206</v>
      </c>
    </row>
    <row r="346" spans="1:9" x14ac:dyDescent="0.35">
      <c r="A346" s="2" t="str">
        <f t="shared" si="57"/>
        <v>ROCK</v>
      </c>
      <c r="B346" s="2" t="str">
        <f t="shared" si="58"/>
        <v>CITY OF EDGERTON</v>
      </c>
      <c r="C346" s="2" t="s">
        <v>192</v>
      </c>
      <c r="D346" s="2" t="str">
        <f>CLEAN("5650-00-72")</f>
        <v>5650-00-72</v>
      </c>
      <c r="E346" s="3" t="str">
        <f>CLEAN("C EDGERTON GEAR DR/TOWER DR/ARTISAN")</f>
        <v>C EDGERTON GEAR DR/TOWER DR/ARTISAN</v>
      </c>
      <c r="F346" s="3" t="str">
        <f>CLEAN("MARSHVIEW CT. TO W FULTON ST.")</f>
        <v>MARSHVIEW CT. TO W FULTON ST.</v>
      </c>
      <c r="G346" s="3" t="str">
        <f>CLEAN("CONST OPS/PAVEMENT REPLACEMENT")</f>
        <v>CONST OPS/PAVEMENT REPLACEMENT</v>
      </c>
      <c r="H346" s="2" t="str">
        <f>CLEAN("LOC STR")</f>
        <v>LOC STR</v>
      </c>
      <c r="I346" s="2" t="str">
        <f>CLEAN("206")</f>
        <v>206</v>
      </c>
    </row>
    <row r="347" spans="1:9" x14ac:dyDescent="0.35">
      <c r="A347" s="2" t="str">
        <f t="shared" si="57"/>
        <v>ROCK</v>
      </c>
      <c r="B347" s="2" t="str">
        <f t="shared" si="58"/>
        <v>CITY OF EDGERTON</v>
      </c>
      <c r="C347" s="2" t="s">
        <v>228</v>
      </c>
      <c r="D347" s="2" t="str">
        <f>CLEAN("5798-00-11")</f>
        <v>5798-00-11</v>
      </c>
      <c r="E347" s="3" t="str">
        <f>CLEAN("C EDGERTON  SOUTH MAIN STREET")</f>
        <v>C EDGERTON  SOUTH MAIN STREET</v>
      </c>
      <c r="F347" s="3" t="str">
        <f>CLEAN("CITY LIMIT(CTH F)TO LORD ST(USH 51)")</f>
        <v>CITY LIMIT(CTH F)TO LORD ST(USH 51)</v>
      </c>
      <c r="G347" s="3" t="str">
        <f>CLEAN("CONST OPS/RECONSTRUCT")</f>
        <v>CONST OPS/RECONSTRUCT</v>
      </c>
      <c r="H347" s="2" t="str">
        <f>CLEAN("LOC STR")</f>
        <v>LOC STR</v>
      </c>
      <c r="I347" s="2" t="str">
        <f>CLEAN("206")</f>
        <v>206</v>
      </c>
    </row>
    <row r="348" spans="1:9" x14ac:dyDescent="0.35">
      <c r="A348" s="2" t="str">
        <f t="shared" si="57"/>
        <v>ROCK</v>
      </c>
      <c r="B348" s="2" t="str">
        <f t="shared" si="58"/>
        <v>CITY OF EDGERTON</v>
      </c>
      <c r="C348" s="2" t="s">
        <v>2141</v>
      </c>
      <c r="D348" s="2" t="str">
        <f>CLEAN("5798-01-00")</f>
        <v>5798-01-00</v>
      </c>
      <c r="E348" s="3" t="str">
        <f>CLEAN("CITY OF EDGERTON  W. FULTON STREET")</f>
        <v>CITY OF EDGERTON  W. FULTON STREET</v>
      </c>
      <c r="F348" s="3" t="str">
        <f>CLEAN("DALLMAN ROAD TO STH 59")</f>
        <v>DALLMAN ROAD TO STH 59</v>
      </c>
      <c r="G348" s="3" t="str">
        <f>CLEAN("DESIGN/PLAN CHECK REVIEW/PVRPLA")</f>
        <v>DESIGN/PLAN CHECK REVIEW/PVRPLA</v>
      </c>
      <c r="H348" s="2" t="str">
        <f>CLEAN("LOC STR")</f>
        <v>LOC STR</v>
      </c>
      <c r="I348" s="2" t="str">
        <f>CLEAN("206")</f>
        <v>206</v>
      </c>
    </row>
    <row r="349" spans="1:9" x14ac:dyDescent="0.35">
      <c r="A349" s="2" t="str">
        <f t="shared" si="57"/>
        <v>ROCK</v>
      </c>
      <c r="B349" s="2" t="str">
        <f t="shared" si="58"/>
        <v>CITY OF EDGERTON</v>
      </c>
      <c r="C349" s="2" t="s">
        <v>190</v>
      </c>
      <c r="D349" s="2" t="str">
        <f>CLEAN("5798-01-70")</f>
        <v>5798-01-70</v>
      </c>
      <c r="E349" s="3" t="str">
        <f>CLEAN("CITY OF EDGERTON  W. FULTON STREET")</f>
        <v>CITY OF EDGERTON  W. FULTON STREET</v>
      </c>
      <c r="F349" s="3" t="str">
        <f>CLEAN("DALLMAN ROAD TO STH 59")</f>
        <v>DALLMAN ROAD TO STH 59</v>
      </c>
      <c r="G349" s="3" t="str">
        <f>CLEAN("CONST OPS/PAVEMENT REPLACEMENT")</f>
        <v>CONST OPS/PAVEMENT REPLACEMENT</v>
      </c>
      <c r="H349" s="2" t="str">
        <f>CLEAN("LOC STR")</f>
        <v>LOC STR</v>
      </c>
      <c r="I349" s="2" t="str">
        <f>CLEAN("206")</f>
        <v>206</v>
      </c>
    </row>
    <row r="350" spans="1:9" x14ac:dyDescent="0.35">
      <c r="A350" s="2" t="str">
        <f t="shared" ref="A350:A356" si="59">CLEAN("WALWORTH")</f>
        <v>WALWORTH</v>
      </c>
      <c r="B350" s="2" t="str">
        <f t="shared" ref="B350:B356" si="60">CLEAN("CITY OF ELKHORN")</f>
        <v>CITY OF ELKHORN</v>
      </c>
      <c r="C350" s="2" t="s">
        <v>2722</v>
      </c>
      <c r="D350" s="2" t="str">
        <f>CLEAN("3325-05-01")</f>
        <v>3325-05-01</v>
      </c>
      <c r="E350" s="3" t="str">
        <f>CLEAN("C ELKHORN  N WISCONSIN ST")</f>
        <v>C ELKHORN  N WISCONSIN ST</v>
      </c>
      <c r="F350" s="3" t="str">
        <f>CLEAN("N LINCOLN ST TO USH 12")</f>
        <v>N LINCOLN ST TO USH 12</v>
      </c>
      <c r="G350" s="3" t="str">
        <f>CLEAN("PE/FULL PS&amp;E ROW/RSRF15")</f>
        <v>PE/FULL PS&amp;E ROW/RSRF15</v>
      </c>
      <c r="H350" s="2" t="str">
        <f>CLEAN("STH 067")</f>
        <v>STH 067</v>
      </c>
      <c r="I350" s="2" t="str">
        <f>CLEAN("303")</f>
        <v>303</v>
      </c>
    </row>
    <row r="351" spans="1:9" x14ac:dyDescent="0.35">
      <c r="A351" s="2" t="str">
        <f t="shared" si="59"/>
        <v>WALWORTH</v>
      </c>
      <c r="B351" s="2" t="str">
        <f t="shared" si="60"/>
        <v>CITY OF ELKHORN</v>
      </c>
      <c r="C351" s="2" t="s">
        <v>2886</v>
      </c>
      <c r="D351" s="2" t="str">
        <f>CLEAN("3325-07-01")</f>
        <v>3325-07-01</v>
      </c>
      <c r="E351" s="3" t="str">
        <f>CLEAN("WILLIAMS BAY - ELKHORN")</f>
        <v>WILLIAMS BAY - ELKHORN</v>
      </c>
      <c r="F351" s="3" t="str">
        <f>CLEAN("STH 50 TO IH 43 I/C")</f>
        <v>STH 50 TO IH 43 I/C</v>
      </c>
      <c r="G351" s="3" t="str">
        <f>CLEAN("PE/FULL PSE/RSRF10")</f>
        <v>PE/FULL PSE/RSRF10</v>
      </c>
      <c r="H351" s="2" t="str">
        <f>CLEAN("STH 067")</f>
        <v>STH 067</v>
      </c>
      <c r="I351" s="2" t="str">
        <f>CLEAN("303")</f>
        <v>303</v>
      </c>
    </row>
    <row r="352" spans="1:9" x14ac:dyDescent="0.35">
      <c r="A352" s="2" t="str">
        <f t="shared" si="59"/>
        <v>WALWORTH</v>
      </c>
      <c r="B352" s="2" t="str">
        <f t="shared" si="60"/>
        <v>CITY OF ELKHORN</v>
      </c>
      <c r="C352" s="2" t="s">
        <v>2752</v>
      </c>
      <c r="D352" s="2" t="str">
        <f>CLEAN("3840-05-01")</f>
        <v>3840-05-01</v>
      </c>
      <c r="E352" s="3" t="str">
        <f>CLEAN("C ELKHORN  WALWORTH ST")</f>
        <v>C ELKHORN  WALWORTH ST</v>
      </c>
      <c r="F352" s="3" t="str">
        <f>CLEAN("WEST ST TO CHURCH ST")</f>
        <v>WEST ST TO CHURCH ST</v>
      </c>
      <c r="G352" s="3" t="str">
        <f>CLEAN("PE/FULL PS&amp;E/PSRS30")</f>
        <v>PE/FULL PS&amp;E/PSRS30</v>
      </c>
      <c r="H352" s="2" t="str">
        <f>CLEAN("STH 011")</f>
        <v>STH 011</v>
      </c>
      <c r="I352" s="2" t="str">
        <f>CLEAN("303")</f>
        <v>303</v>
      </c>
    </row>
    <row r="353" spans="1:9" x14ac:dyDescent="0.35">
      <c r="A353" s="2" t="str">
        <f t="shared" si="59"/>
        <v>WALWORTH</v>
      </c>
      <c r="B353" s="2" t="str">
        <f t="shared" si="60"/>
        <v>CITY OF ELKHORN</v>
      </c>
      <c r="C353" s="2" t="s">
        <v>2618</v>
      </c>
      <c r="D353" s="2" t="str">
        <f>CLEAN("3840-06-01")</f>
        <v>3840-06-01</v>
      </c>
      <c r="E353" s="3" t="str">
        <f>CLEAN("C ELKHORN  MARKET ST")</f>
        <v>C ELKHORN  MARKET ST</v>
      </c>
      <c r="F353" s="3" t="str">
        <f>CLEAN("STH 11 TO STH 67")</f>
        <v>STH 11 TO STH 67</v>
      </c>
      <c r="G353" s="3" t="str">
        <f>CLEAN("PE/ STATE REVIEW ONLY")</f>
        <v>PE/ STATE REVIEW ONLY</v>
      </c>
      <c r="H353" s="2" t="str">
        <f>CLEAN("LOC STR")</f>
        <v>LOC STR</v>
      </c>
      <c r="I353" s="2" t="str">
        <f>CLEAN("206")</f>
        <v>206</v>
      </c>
    </row>
    <row r="354" spans="1:9" x14ac:dyDescent="0.35">
      <c r="A354" s="2" t="str">
        <f t="shared" si="59"/>
        <v>WALWORTH</v>
      </c>
      <c r="B354" s="2" t="str">
        <f t="shared" si="60"/>
        <v>CITY OF ELKHORN</v>
      </c>
      <c r="C354" s="2" t="s">
        <v>2725</v>
      </c>
      <c r="D354" s="2" t="str">
        <f>CLEAN("3325-05-00")</f>
        <v>3325-05-00</v>
      </c>
      <c r="E354" s="3" t="str">
        <f>CLEAN("C ELKHORN LINCOLN GENEVA WISCONSIN")</f>
        <v>C ELKHORN LINCOLN GENEVA WISCONSIN</v>
      </c>
      <c r="F354" s="3" t="str">
        <f>CLEAN("IH43 TO E WALWORTH ST")</f>
        <v>IH43 TO E WALWORTH ST</v>
      </c>
      <c r="G354" s="3" t="str">
        <f>CLEAN("PE/FULL PS&amp;E ROW/RSRF25")</f>
        <v>PE/FULL PS&amp;E ROW/RSRF25</v>
      </c>
      <c r="H354" s="2" t="str">
        <f>CLEAN("STH 067")</f>
        <v>STH 067</v>
      </c>
      <c r="I354" s="2" t="str">
        <f>CLEAN("303")</f>
        <v>303</v>
      </c>
    </row>
    <row r="355" spans="1:9" x14ac:dyDescent="0.35">
      <c r="A355" s="2" t="str">
        <f t="shared" si="59"/>
        <v>WALWORTH</v>
      </c>
      <c r="B355" s="2" t="str">
        <f t="shared" si="60"/>
        <v>CITY OF ELKHORN</v>
      </c>
      <c r="C355" s="2" t="s">
        <v>2676</v>
      </c>
      <c r="D355" s="2" t="str">
        <f>CLEAN("3840-05-00")</f>
        <v>3840-05-00</v>
      </c>
      <c r="E355" s="3" t="str">
        <f>CLEAN("C ELKHORN WALWORTH WISCONSIN COURT")</f>
        <v>C ELKHORN WALWORTH WISCONSIN COURT</v>
      </c>
      <c r="F355" s="3" t="str">
        <f>CLEAN("CHURCH ST TO COBB RD")</f>
        <v>CHURCH ST TO COBB RD</v>
      </c>
      <c r="G355" s="3" t="str">
        <f>CLEAN("PE/FULL PS &amp; E ROW/RSRF15")</f>
        <v>PE/FULL PS &amp; E ROW/RSRF15</v>
      </c>
      <c r="H355" s="2" t="str">
        <f>CLEAN("STH 011")</f>
        <v>STH 011</v>
      </c>
      <c r="I355" s="2" t="str">
        <f>CLEAN("303")</f>
        <v>303</v>
      </c>
    </row>
    <row r="356" spans="1:9" x14ac:dyDescent="0.35">
      <c r="A356" s="2" t="str">
        <f t="shared" si="59"/>
        <v>WALWORTH</v>
      </c>
      <c r="B356" s="2" t="str">
        <f t="shared" si="60"/>
        <v>CITY OF ELKHORN</v>
      </c>
      <c r="C356" s="2" t="s">
        <v>985</v>
      </c>
      <c r="D356" s="2" t="str">
        <f>CLEAN("3840-06-71")</f>
        <v>3840-06-71</v>
      </c>
      <c r="E356" s="3" t="str">
        <f>CLEAN("C ELKHORN  MARKET ST")</f>
        <v>C ELKHORN  MARKET ST</v>
      </c>
      <c r="F356" s="3" t="str">
        <f>CLEAN("STH 11 TO STH 67")</f>
        <v>STH 11 TO STH 67</v>
      </c>
      <c r="G356" s="3" t="str">
        <f>CLEAN("CONST/RESURFACE")</f>
        <v>CONST/RESURFACE</v>
      </c>
      <c r="H356" s="2" t="str">
        <f>CLEAN("LOC STR")</f>
        <v>LOC STR</v>
      </c>
      <c r="I356" s="2" t="str">
        <f>CLEAN("206")</f>
        <v>206</v>
      </c>
    </row>
    <row r="357" spans="1:9" x14ac:dyDescent="0.35">
      <c r="A357" s="2" t="str">
        <f>CLEAN("ROCK")</f>
        <v>ROCK</v>
      </c>
      <c r="B357" s="2" t="str">
        <f>CLEAN("CITY OF EVANSVILLE")</f>
        <v>CITY OF EVANSVILLE</v>
      </c>
      <c r="C357" s="2" t="s">
        <v>2303</v>
      </c>
      <c r="D357" s="2" t="str">
        <f>CLEAN("5670-02-02")</f>
        <v>5670-02-02</v>
      </c>
      <c r="E357" s="3" t="str">
        <f>CLEAN("C EVANSVILLE  MADISON STREET")</f>
        <v>C EVANSVILLE  MADISON STREET</v>
      </c>
      <c r="F357" s="3" t="str">
        <f>CLEAN("GARRISON DRIVE TO USH 14")</f>
        <v>GARRISON DRIVE TO USH 14</v>
      </c>
      <c r="G357" s="3" t="str">
        <f>CLEAN("DESIGN-FULL PS&amp;E PVRPLA")</f>
        <v>DESIGN-FULL PS&amp;E PVRPLA</v>
      </c>
      <c r="H357" s="2" t="str">
        <f>CLEAN("STH 059")</f>
        <v>STH 059</v>
      </c>
      <c r="I357" s="2" t="str">
        <f>CLEAN("303")</f>
        <v>303</v>
      </c>
    </row>
    <row r="358" spans="1:9" x14ac:dyDescent="0.35">
      <c r="A358" s="2" t="str">
        <f>CLEAN("GRANT")</f>
        <v>GRANT</v>
      </c>
      <c r="B358" s="2" t="str">
        <f>CLEAN("CITY OF FENNIMORE")</f>
        <v>CITY OF FENNIMORE</v>
      </c>
      <c r="C358" s="2" t="s">
        <v>2135</v>
      </c>
      <c r="D358" s="2" t="str">
        <f>CLEAN("5898-00-03")</f>
        <v>5898-00-03</v>
      </c>
      <c r="E358" s="3" t="str">
        <f>CLEAN("CITY OF FENNIMORE  BROWNWOOD ROAD")</f>
        <v>CITY OF FENNIMORE  BROWNWOOD ROAD</v>
      </c>
      <c r="F358" s="3" t="str">
        <f>CLEAN("BRONSON BLVD TO TERMINI")</f>
        <v>BRONSON BLVD TO TERMINI</v>
      </c>
      <c r="G358" s="3" t="str">
        <f>CLEAN("DESIGN/PLAN CHECK REVIEW/PVRPLA")</f>
        <v>DESIGN/PLAN CHECK REVIEW/PVRPLA</v>
      </c>
      <c r="H358" s="2" t="str">
        <f>CLEAN("LOC STR")</f>
        <v>LOC STR</v>
      </c>
      <c r="I358" s="2" t="str">
        <f t="shared" ref="I358:I364" si="61">CLEAN("206")</f>
        <v>206</v>
      </c>
    </row>
    <row r="359" spans="1:9" x14ac:dyDescent="0.35">
      <c r="A359" s="2" t="str">
        <f t="shared" ref="A359:A369" si="62">CLEAN("DANE")</f>
        <v>DANE</v>
      </c>
      <c r="B359" s="2" t="str">
        <f t="shared" ref="B359:B369" si="63">CLEAN("CITY OF FITCHBURG")</f>
        <v>CITY OF FITCHBURG</v>
      </c>
      <c r="C359" s="2" t="s">
        <v>239</v>
      </c>
      <c r="D359" s="2" t="str">
        <f>CLEAN("5849-02-02")</f>
        <v>5849-02-02</v>
      </c>
      <c r="E359" s="3" t="str">
        <f>CLEAN("C FITCHBURG  MCKEE ROAD")</f>
        <v>C FITCHBURG  MCKEE ROAD</v>
      </c>
      <c r="F359" s="3" t="str">
        <f>CLEAN("COMMERCE PARK DR TO SEMINOLE HWY")</f>
        <v>COMMERCE PARK DR TO SEMINOLE HWY</v>
      </c>
      <c r="G359" s="3" t="str">
        <f>CLEAN("CONST OPS/RECONSTRUCTION")</f>
        <v>CONST OPS/RECONSTRUCTION</v>
      </c>
      <c r="H359" s="2" t="str">
        <f>CLEAN("CTH PD")</f>
        <v>CTH PD</v>
      </c>
      <c r="I359" s="2" t="str">
        <f t="shared" si="61"/>
        <v>206</v>
      </c>
    </row>
    <row r="360" spans="1:9" x14ac:dyDescent="0.35">
      <c r="A360" s="2" t="str">
        <f t="shared" si="62"/>
        <v>DANE</v>
      </c>
      <c r="B360" s="2" t="str">
        <f t="shared" si="63"/>
        <v>CITY OF FITCHBURG</v>
      </c>
      <c r="C360" s="2" t="s">
        <v>319</v>
      </c>
      <c r="D360" s="2" t="str">
        <f>CLEAN("5849-02-03")</f>
        <v>5849-02-03</v>
      </c>
      <c r="E360" s="3" t="str">
        <f>CLEAN("C FITCHBURG  MCKEE ROAD")</f>
        <v>C FITCHBURG  MCKEE ROAD</v>
      </c>
      <c r="F360" s="3" t="str">
        <f>CLEAN("COMMERCE PARK DR TO SEMINOLE HWY")</f>
        <v>COMMERCE PARK DR TO SEMINOLE HWY</v>
      </c>
      <c r="G360" s="3" t="str">
        <f>CLEAN("CONST OPS/UTILITY")</f>
        <v>CONST OPS/UTILITY</v>
      </c>
      <c r="H360" s="2" t="str">
        <f>CLEAN("CTH PD")</f>
        <v>CTH PD</v>
      </c>
      <c r="I360" s="2" t="str">
        <f t="shared" si="61"/>
        <v>206</v>
      </c>
    </row>
    <row r="361" spans="1:9" x14ac:dyDescent="0.35">
      <c r="A361" s="2" t="str">
        <f t="shared" si="62"/>
        <v>DANE</v>
      </c>
      <c r="B361" s="2" t="str">
        <f t="shared" si="63"/>
        <v>CITY OF FITCHBURG</v>
      </c>
      <c r="C361" s="2" t="s">
        <v>2336</v>
      </c>
      <c r="D361" s="2" t="str">
        <f>CLEAN("5849-02-04")</f>
        <v>5849-02-04</v>
      </c>
      <c r="E361" s="3" t="str">
        <f>CLEAN("C FITCHBURG  CTH MM")</f>
        <v>C FITCHBURG  CTH MM</v>
      </c>
      <c r="F361" s="3" t="str">
        <f>CLEAN("MCCOY ROAD INTERSECTION")</f>
        <v>MCCOY ROAD INTERSECTION</v>
      </c>
      <c r="G361" s="3" t="str">
        <f>CLEAN("DESIGN-FULL PS&amp;E/RECST INTERSECTION")</f>
        <v>DESIGN-FULL PS&amp;E/RECST INTERSECTION</v>
      </c>
      <c r="H361" s="2" t="str">
        <f>CLEAN("CTH MM")</f>
        <v>CTH MM</v>
      </c>
      <c r="I361" s="2" t="str">
        <f t="shared" si="61"/>
        <v>206</v>
      </c>
    </row>
    <row r="362" spans="1:9" x14ac:dyDescent="0.35">
      <c r="A362" s="2" t="str">
        <f t="shared" si="62"/>
        <v>DANE</v>
      </c>
      <c r="B362" s="2" t="str">
        <f t="shared" si="63"/>
        <v>CITY OF FITCHBURG</v>
      </c>
      <c r="C362" s="2" t="s">
        <v>788</v>
      </c>
      <c r="D362" s="2" t="str">
        <f>CLEAN("5849-02-05")</f>
        <v>5849-02-05</v>
      </c>
      <c r="E362" s="3" t="str">
        <f>CLEAN("C FITCHBURG  CTH MM")</f>
        <v>C FITCHBURG  CTH MM</v>
      </c>
      <c r="F362" s="3" t="str">
        <f>CLEAN("MCCOY ROAD INTERSECTION")</f>
        <v>MCCOY ROAD INTERSECTION</v>
      </c>
      <c r="G362" s="3" t="str">
        <f>CLEAN("CONST/RECONSTRUCT INTERSECTION")</f>
        <v>CONST/RECONSTRUCT INTERSECTION</v>
      </c>
      <c r="H362" s="2" t="str">
        <f>CLEAN("CTH MM")</f>
        <v>CTH MM</v>
      </c>
      <c r="I362" s="2" t="str">
        <f t="shared" si="61"/>
        <v>206</v>
      </c>
    </row>
    <row r="363" spans="1:9" x14ac:dyDescent="0.35">
      <c r="A363" s="2" t="str">
        <f t="shared" si="62"/>
        <v>DANE</v>
      </c>
      <c r="B363" s="2" t="str">
        <f t="shared" si="63"/>
        <v>CITY OF FITCHBURG</v>
      </c>
      <c r="C363" s="2" t="s">
        <v>1537</v>
      </c>
      <c r="D363" s="2" t="str">
        <f>CLEAN("5849-02-06")</f>
        <v>5849-02-06</v>
      </c>
      <c r="E363" s="3" t="str">
        <f>CLEAN("C FITCHBURG  SYENE ROAD")</f>
        <v>C FITCHBURG  SYENE ROAD</v>
      </c>
      <c r="F363" s="3" t="str">
        <f>CLEAN("MCCOY ROAD INTERSECTION")</f>
        <v>MCCOY ROAD INTERSECTION</v>
      </c>
      <c r="G363" s="3" t="str">
        <f>CLEAN("DESIGN - FULL PS&amp;E RECST")</f>
        <v>DESIGN - FULL PS&amp;E RECST</v>
      </c>
      <c r="H363" s="2" t="str">
        <f>CLEAN("LOC STR")</f>
        <v>LOC STR</v>
      </c>
      <c r="I363" s="2" t="str">
        <f t="shared" si="61"/>
        <v>206</v>
      </c>
    </row>
    <row r="364" spans="1:9" x14ac:dyDescent="0.35">
      <c r="A364" s="2" t="str">
        <f t="shared" si="62"/>
        <v>DANE</v>
      </c>
      <c r="B364" s="2" t="str">
        <f t="shared" si="63"/>
        <v>CITY OF FITCHBURG</v>
      </c>
      <c r="C364" s="2" t="s">
        <v>747</v>
      </c>
      <c r="D364" s="2" t="str">
        <f>CLEAN("5849-02-07")</f>
        <v>5849-02-07</v>
      </c>
      <c r="E364" s="3" t="str">
        <f>CLEAN("C FITCHBURG  SYENE ROAD")</f>
        <v>C FITCHBURG  SYENE ROAD</v>
      </c>
      <c r="F364" s="3" t="str">
        <f>CLEAN("MCCOY ROAD INTERSECTION")</f>
        <v>MCCOY ROAD INTERSECTION</v>
      </c>
      <c r="G364" s="3" t="str">
        <f>CLEAN("CONST/RECONFIG INTERSECTION RECST")</f>
        <v>CONST/RECONFIG INTERSECTION RECST</v>
      </c>
      <c r="H364" s="2" t="str">
        <f>CLEAN("LOC STR")</f>
        <v>LOC STR</v>
      </c>
      <c r="I364" s="2" t="str">
        <f t="shared" si="61"/>
        <v>206</v>
      </c>
    </row>
    <row r="365" spans="1:9" x14ac:dyDescent="0.35">
      <c r="A365" s="2" t="str">
        <f t="shared" si="62"/>
        <v>DANE</v>
      </c>
      <c r="B365" s="2" t="str">
        <f t="shared" si="63"/>
        <v>CITY OF FITCHBURG</v>
      </c>
      <c r="C365" s="2" t="s">
        <v>1559</v>
      </c>
      <c r="D365" s="2" t="str">
        <f>CLEAN("5849-00-13")</f>
        <v>5849-00-13</v>
      </c>
      <c r="E365" s="3" t="str">
        <f>CLEAN("C FITCHBURG  CTH MM UNDERPASS")</f>
        <v>C FITCHBURG  CTH MM UNDERPASS</v>
      </c>
      <c r="F365" s="3" t="str">
        <f>CLEAN("LACY ROAD TO MCCOY ROAD")</f>
        <v>LACY ROAD TO MCCOY ROAD</v>
      </c>
      <c r="G365" s="3" t="str">
        <f>CLEAN("DESIGN - FULL PS&amp;E UNDERPASS")</f>
        <v>DESIGN - FULL PS&amp;E UNDERPASS</v>
      </c>
      <c r="H365" s="2" t="str">
        <f>CLEAN("NON HWY")</f>
        <v>NON HWY</v>
      </c>
      <c r="I365" s="2" t="str">
        <f>CLEAN("290")</f>
        <v>290</v>
      </c>
    </row>
    <row r="366" spans="1:9" x14ac:dyDescent="0.35">
      <c r="A366" s="2" t="str">
        <f t="shared" si="62"/>
        <v>DANE</v>
      </c>
      <c r="B366" s="2" t="str">
        <f t="shared" si="63"/>
        <v>CITY OF FITCHBURG</v>
      </c>
      <c r="C366" s="2" t="s">
        <v>2591</v>
      </c>
      <c r="D366" s="2" t="str">
        <f>CLEAN("5849-00-15")</f>
        <v>5849-00-15</v>
      </c>
      <c r="E366" s="3" t="str">
        <f>CLEAN("C FITCHBURG  FAHEY GLEN EXTENSION")</f>
        <v>C FITCHBURG  FAHEY GLEN EXTENSION</v>
      </c>
      <c r="F366" s="3" t="str">
        <f>CLEAN("LACY ROAD TO EAST CHERYL PARKWAY")</f>
        <v>LACY ROAD TO EAST CHERYL PARKWAY</v>
      </c>
      <c r="G366" s="3" t="str">
        <f>CLEAN("NEW ACCESS/LLC/TEA")</f>
        <v>NEW ACCESS/LLC/TEA</v>
      </c>
      <c r="H366" s="2" t="str">
        <f>CLEAN("LOC STR")</f>
        <v>LOC STR</v>
      </c>
      <c r="I366" s="2" t="str">
        <f>CLEAN("209")</f>
        <v>209</v>
      </c>
    </row>
    <row r="367" spans="1:9" x14ac:dyDescent="0.35">
      <c r="A367" s="2" t="str">
        <f t="shared" si="62"/>
        <v>DANE</v>
      </c>
      <c r="B367" s="2" t="str">
        <f t="shared" si="63"/>
        <v>CITY OF FITCHBURG</v>
      </c>
      <c r="C367" s="2" t="s">
        <v>3364</v>
      </c>
      <c r="D367" s="2" t="str">
        <f>CLEAN("5849-00-20")</f>
        <v>5849-00-20</v>
      </c>
      <c r="E367" s="3" t="str">
        <f>CLEAN("C OF FITCHBURG  8 BUS STOP SHELTERS")</f>
        <v>C OF FITCHBURG  8 BUS STOP SHELTERS</v>
      </c>
      <c r="F367" s="3" t="str">
        <f>CLEAN("VARIOUS LOCATIONS - C OF FITCHBURG")</f>
        <v>VARIOUS LOCATIONS - C OF FITCHBURG</v>
      </c>
      <c r="G367" s="3" t="str">
        <f>CLEAN("TRANSIT/ 8 BUS STOP SHELTERS")</f>
        <v>TRANSIT/ 8 BUS STOP SHELTERS</v>
      </c>
      <c r="H367" s="2" t="str">
        <f>CLEAN("NON HWY")</f>
        <v>NON HWY</v>
      </c>
      <c r="I367" s="2" t="str">
        <f>CLEAN("206")</f>
        <v>206</v>
      </c>
    </row>
    <row r="368" spans="1:9" x14ac:dyDescent="0.35">
      <c r="A368" s="2" t="str">
        <f t="shared" si="62"/>
        <v>DANE</v>
      </c>
      <c r="B368" s="2" t="str">
        <f t="shared" si="63"/>
        <v>CITY OF FITCHBURG</v>
      </c>
      <c r="C368" s="2" t="s">
        <v>524</v>
      </c>
      <c r="D368" s="2" t="str">
        <f>CLEAN("5849-00-21")</f>
        <v>5849-00-21</v>
      </c>
      <c r="E368" s="3" t="str">
        <f>CLEAN("C FITCHBURG  LED STREET LIGHTS")</f>
        <v>C FITCHBURG  LED STREET LIGHTS</v>
      </c>
      <c r="F368" s="3" t="str">
        <f>CLEAN("VARIOUS LOCATIONS - C FITCHBURG")</f>
        <v>VARIOUS LOCATIONS - C FITCHBURG</v>
      </c>
      <c r="G368" s="3" t="str">
        <f>CLEAN("CONST/CARBON RED-LED LIGHTING")</f>
        <v>CONST/CARBON RED-LED LIGHTING</v>
      </c>
      <c r="H368" s="2" t="str">
        <f>CLEAN("VAR HWY")</f>
        <v>VAR HWY</v>
      </c>
      <c r="I368" s="2" t="str">
        <f>CLEAN("206")</f>
        <v>206</v>
      </c>
    </row>
    <row r="369" spans="1:9" x14ac:dyDescent="0.35">
      <c r="A369" s="2" t="str">
        <f t="shared" si="62"/>
        <v>DANE</v>
      </c>
      <c r="B369" s="2" t="str">
        <f t="shared" si="63"/>
        <v>CITY OF FITCHBURG</v>
      </c>
      <c r="C369" s="2" t="s">
        <v>2492</v>
      </c>
      <c r="D369" s="2" t="str">
        <f>CLEAN("5849-22-00")</f>
        <v>5849-22-00</v>
      </c>
      <c r="E369" s="3" t="str">
        <f>CLEAN("CITY OF FITCHBURG  ELECTRIC BICYLES")</f>
        <v>CITY OF FITCHBURG  ELECTRIC BICYLES</v>
      </c>
      <c r="F369" s="3" t="str">
        <f>CLEAN("C FITCHBURG MULT LOCATIONS PHASE 2")</f>
        <v>C FITCHBURG MULT LOCATIONS PHASE 2</v>
      </c>
      <c r="G369" s="3" t="str">
        <f>CLEAN("ELECTRIC BICYLE PURCHASES")</f>
        <v>ELECTRIC BICYLE PURCHASES</v>
      </c>
      <c r="H369" s="2" t="str">
        <f>CLEAN("NON HWY")</f>
        <v>NON HWY</v>
      </c>
      <c r="I369" s="2" t="str">
        <f>CLEAN("290")</f>
        <v>290</v>
      </c>
    </row>
    <row r="370" spans="1:9" x14ac:dyDescent="0.35">
      <c r="A370" s="2" t="str">
        <f t="shared" ref="A370:A381" si="64">CLEAN("FOND DU LAC")</f>
        <v>FOND DU LAC</v>
      </c>
      <c r="B370" s="2" t="str">
        <f t="shared" ref="B370:B381" si="65">CLEAN("CITY OF FOND DU LAC")</f>
        <v>CITY OF FOND DU LAC</v>
      </c>
      <c r="C370" s="2" t="s">
        <v>49</v>
      </c>
      <c r="D370" s="2" t="str">
        <f>CLEAN("1440-40-71")</f>
        <v>1440-40-71</v>
      </c>
      <c r="E370" s="3" t="str">
        <f>CLEAN("W JOHNSON ST  C OF FOND DU LAC")</f>
        <v>W JOHNSON ST  C OF FOND DU LAC</v>
      </c>
      <c r="F370" s="3" t="str">
        <f>CLEAN("PIONEER ROAD INTERSECTION")</f>
        <v>PIONEER ROAD INTERSECTION</v>
      </c>
      <c r="G370" s="3" t="str">
        <f>CLEAN("CONST OPS/ HSIP INTERSECTION")</f>
        <v>CONST OPS/ HSIP INTERSECTION</v>
      </c>
      <c r="H370" s="2" t="str">
        <f>CLEAN("USH 045")</f>
        <v>USH 045</v>
      </c>
      <c r="I370" s="2" t="str">
        <f>CLEAN("303")</f>
        <v>303</v>
      </c>
    </row>
    <row r="371" spans="1:9" x14ac:dyDescent="0.35">
      <c r="A371" s="2" t="str">
        <f t="shared" si="64"/>
        <v>FOND DU LAC</v>
      </c>
      <c r="B371" s="2" t="str">
        <f t="shared" si="65"/>
        <v>CITY OF FOND DU LAC</v>
      </c>
      <c r="C371" s="2" t="s">
        <v>3384</v>
      </c>
      <c r="D371" s="2" t="str">
        <f>CLEAN("3700-30-65")</f>
        <v>3700-30-65</v>
      </c>
      <c r="E371" s="3" t="str">
        <f>CLEAN("C FOND DU LAC  USH 45")</f>
        <v>C FOND DU LAC  USH 45</v>
      </c>
      <c r="F371" s="3" t="str">
        <f>CLEAN("W. SCOTT STREET INTERSECTION")</f>
        <v>W. SCOTT STREET INTERSECTION</v>
      </c>
      <c r="G371" s="3" t="str">
        <f>CLEAN("TRF OPS/TOSIG")</f>
        <v>TRF OPS/TOSIG</v>
      </c>
      <c r="H371" s="2" t="str">
        <f>CLEAN("USH 045")</f>
        <v>USH 045</v>
      </c>
      <c r="I371" s="2" t="str">
        <f>CLEAN("305")</f>
        <v>305</v>
      </c>
    </row>
    <row r="372" spans="1:9" x14ac:dyDescent="0.35">
      <c r="A372" s="2" t="str">
        <f t="shared" si="64"/>
        <v>FOND DU LAC</v>
      </c>
      <c r="B372" s="2" t="str">
        <f t="shared" si="65"/>
        <v>CITY OF FOND DU LAC</v>
      </c>
      <c r="C372" s="2" t="s">
        <v>3383</v>
      </c>
      <c r="D372" s="2" t="str">
        <f>CLEAN("3700-30-66")</f>
        <v>3700-30-66</v>
      </c>
      <c r="E372" s="3" t="str">
        <f>CLEAN("C FOND DU LAC  USH 45")</f>
        <v>C FOND DU LAC  USH 45</v>
      </c>
      <c r="F372" s="3" t="str">
        <f>CLEAN("W. SCOTT STREET INTERSECTION")</f>
        <v>W. SCOTT STREET INTERSECTION</v>
      </c>
      <c r="G372" s="3" t="str">
        <f>CLEAN("TRF OPS/TOSIG")</f>
        <v>TRF OPS/TOSIG</v>
      </c>
      <c r="H372" s="2" t="str">
        <f>CLEAN("USH 045")</f>
        <v>USH 045</v>
      </c>
      <c r="I372" s="2" t="str">
        <f>CLEAN("305")</f>
        <v>305</v>
      </c>
    </row>
    <row r="373" spans="1:9" x14ac:dyDescent="0.35">
      <c r="A373" s="2" t="str">
        <f t="shared" si="64"/>
        <v>FOND DU LAC</v>
      </c>
      <c r="B373" s="2" t="str">
        <f t="shared" si="65"/>
        <v>CITY OF FOND DU LAC</v>
      </c>
      <c r="C373" s="2" t="s">
        <v>2403</v>
      </c>
      <c r="D373" s="2" t="str">
        <f>CLEAN("4110-35-00")</f>
        <v>4110-35-00</v>
      </c>
      <c r="E373" s="3" t="str">
        <f>CLEAN("C FOND DU LAC  SCOTT STREET")</f>
        <v>C FOND DU LAC  SCOTT STREET</v>
      </c>
      <c r="F373" s="3" t="str">
        <f>CLEAN("SCOTT STREET - N MACY STREET")</f>
        <v>SCOTT STREET - N MACY STREET</v>
      </c>
      <c r="G373" s="3" t="str">
        <f>CLEAN("DSGN/FULL PSE/PVRPLA")</f>
        <v>DSGN/FULL PSE/PVRPLA</v>
      </c>
      <c r="H373" s="2" t="str">
        <f>CLEAN("USH 045")</f>
        <v>USH 045</v>
      </c>
      <c r="I373" s="2" t="str">
        <f>CLEAN("303")</f>
        <v>303</v>
      </c>
    </row>
    <row r="374" spans="1:9" x14ac:dyDescent="0.35">
      <c r="A374" s="2" t="str">
        <f t="shared" si="64"/>
        <v>FOND DU LAC</v>
      </c>
      <c r="B374" s="2" t="str">
        <f t="shared" si="65"/>
        <v>CITY OF FOND DU LAC</v>
      </c>
      <c r="C374" s="2" t="s">
        <v>19</v>
      </c>
      <c r="D374" s="2" t="str">
        <f>CLEAN("4809-06-50")</f>
        <v>4809-06-50</v>
      </c>
      <c r="E374" s="3" t="str">
        <f>CLEAN("GROVE STREET BRIDGE &amp; APPROACHES")</f>
        <v>GROVE STREET BRIDGE &amp; APPROACHES</v>
      </c>
      <c r="F374" s="3" t="str">
        <f>CLEAN("CN RR XING SURFACE 389189N")</f>
        <v>CN RR XING SURFACE 389189N</v>
      </c>
      <c r="G374" s="3" t="str">
        <f>CLEAN("BRIDGE R/W-YES")</f>
        <v>BRIDGE R/W-YES</v>
      </c>
      <c r="H374" s="2" t="str">
        <f t="shared" ref="H374:H381" si="66">CLEAN("LOC STR")</f>
        <v>LOC STR</v>
      </c>
      <c r="I374" s="2" t="str">
        <f>CLEAN("206")</f>
        <v>206</v>
      </c>
    </row>
    <row r="375" spans="1:9" x14ac:dyDescent="0.35">
      <c r="A375" s="2" t="str">
        <f t="shared" si="64"/>
        <v>FOND DU LAC</v>
      </c>
      <c r="B375" s="2" t="str">
        <f t="shared" si="65"/>
        <v>CITY OF FOND DU LAC</v>
      </c>
      <c r="C375" s="2" t="s">
        <v>2455</v>
      </c>
      <c r="D375" s="2" t="str">
        <f>CLEAN("4811-00-71")</f>
        <v>4811-00-71</v>
      </c>
      <c r="E375" s="3" t="str">
        <f>CLEAN("C FOND DU LAC  STOW STREET")</f>
        <v>C FOND DU LAC  STOW STREET</v>
      </c>
      <c r="F375" s="3" t="str">
        <f>CLEAN("DE NEVEU CREEK BRIDGE")</f>
        <v>DE NEVEU CREEK BRIDGE</v>
      </c>
      <c r="G375" s="3" t="str">
        <f>CLEAN("DSN/FULL PSE/BRRPL BRIDGE P-20-728")</f>
        <v>DSN/FULL PSE/BRRPL BRIDGE P-20-728</v>
      </c>
      <c r="H375" s="2" t="str">
        <f t="shared" si="66"/>
        <v>LOC STR</v>
      </c>
      <c r="I375" s="2" t="str">
        <f t="shared" ref="I375:I380" si="67">CLEAN("205")</f>
        <v>205</v>
      </c>
    </row>
    <row r="376" spans="1:9" x14ac:dyDescent="0.35">
      <c r="A376" s="2" t="str">
        <f t="shared" si="64"/>
        <v>FOND DU LAC</v>
      </c>
      <c r="B376" s="2" t="str">
        <f t="shared" si="65"/>
        <v>CITY OF FOND DU LAC</v>
      </c>
      <c r="C376" s="2" t="s">
        <v>167</v>
      </c>
      <c r="D376" s="2" t="str">
        <f>CLEAN("4811-00-72")</f>
        <v>4811-00-72</v>
      </c>
      <c r="E376" s="3" t="str">
        <f>CLEAN("C FOND DU LAC  STOW STREET")</f>
        <v>C FOND DU LAC  STOW STREET</v>
      </c>
      <c r="F376" s="3" t="str">
        <f>CLEAN("DE NEVEU CREEK BRIDGE")</f>
        <v>DE NEVEU CREEK BRIDGE</v>
      </c>
      <c r="G376" s="3" t="str">
        <f>CLEAN("CONST OPS/BRRPL/B200266")</f>
        <v>CONST OPS/BRRPL/B200266</v>
      </c>
      <c r="H376" s="2" t="str">
        <f t="shared" si="66"/>
        <v>LOC STR</v>
      </c>
      <c r="I376" s="2" t="str">
        <f t="shared" si="67"/>
        <v>205</v>
      </c>
    </row>
    <row r="377" spans="1:9" x14ac:dyDescent="0.35">
      <c r="A377" s="2" t="str">
        <f t="shared" si="64"/>
        <v>FOND DU LAC</v>
      </c>
      <c r="B377" s="2" t="str">
        <f t="shared" si="65"/>
        <v>CITY OF FOND DU LAC</v>
      </c>
      <c r="C377" s="2" t="s">
        <v>166</v>
      </c>
      <c r="D377" s="2" t="str">
        <f>CLEAN("4986-00-57")</f>
        <v>4986-00-57</v>
      </c>
      <c r="E377" s="3" t="str">
        <f>CLEAN("C FOND DU LAC  PROMEN DRIVE")</f>
        <v>C FOND DU LAC  PROMEN DRIVE</v>
      </c>
      <c r="F377" s="3" t="str">
        <f>CLEAN("LAKESIDE PARK LAGOON")</f>
        <v>LAKESIDE PARK LAGOON</v>
      </c>
      <c r="G377" s="3" t="str">
        <f>CLEAN("CONST OPS/BRRPL/B200258")</f>
        <v>CONST OPS/BRRPL/B200258</v>
      </c>
      <c r="H377" s="2" t="str">
        <f t="shared" si="66"/>
        <v>LOC STR</v>
      </c>
      <c r="I377" s="2" t="str">
        <f t="shared" si="67"/>
        <v>205</v>
      </c>
    </row>
    <row r="378" spans="1:9" x14ac:dyDescent="0.35">
      <c r="A378" s="2" t="str">
        <f t="shared" si="64"/>
        <v>FOND DU LAC</v>
      </c>
      <c r="B378" s="2" t="str">
        <f t="shared" si="65"/>
        <v>CITY OF FOND DU LAC</v>
      </c>
      <c r="C378" s="2" t="s">
        <v>2458</v>
      </c>
      <c r="D378" s="2" t="str">
        <f>CLEAN("4986-00-62")</f>
        <v>4986-00-62</v>
      </c>
      <c r="E378" s="3" t="str">
        <f>CLEAN("C FOND DU LAC  FOREST AVENUE")</f>
        <v>C FOND DU LAC  FOREST AVENUE</v>
      </c>
      <c r="F378" s="3" t="str">
        <f>CLEAN("EAST BRANCH FOND DU LAC RIVER BRIDG")</f>
        <v>EAST BRANCH FOND DU LAC RIVER BRIDG</v>
      </c>
      <c r="G378" s="3" t="str">
        <f>CLEAN("DSN/FULL PSE/BRRPL P200716")</f>
        <v>DSN/FULL PSE/BRRPL P200716</v>
      </c>
      <c r="H378" s="2" t="str">
        <f t="shared" si="66"/>
        <v>LOC STR</v>
      </c>
      <c r="I378" s="2" t="str">
        <f t="shared" si="67"/>
        <v>205</v>
      </c>
    </row>
    <row r="379" spans="1:9" x14ac:dyDescent="0.35">
      <c r="A379" s="2" t="str">
        <f t="shared" si="64"/>
        <v>FOND DU LAC</v>
      </c>
      <c r="B379" s="2" t="str">
        <f t="shared" si="65"/>
        <v>CITY OF FOND DU LAC</v>
      </c>
      <c r="C379" s="2" t="s">
        <v>2361</v>
      </c>
      <c r="D379" s="2" t="str">
        <f>CLEAN("4986-00-66")</f>
        <v>4986-00-66</v>
      </c>
      <c r="E379" s="3" t="str">
        <f>CLEAN("C FOND DU LAC  HICKORY STREET")</f>
        <v>C FOND DU LAC  HICKORY STREET</v>
      </c>
      <c r="F379" s="3" t="str">
        <f>CLEAN("W BRANCH OF FOND DU LAC RIVER BRIDG")</f>
        <v>W BRANCH OF FOND DU LAC RIVER BRIDG</v>
      </c>
      <c r="G379" s="3" t="str">
        <f>CLEAN("DSGN/FULL PSE/BRRPL")</f>
        <v>DSGN/FULL PSE/BRRPL</v>
      </c>
      <c r="H379" s="2" t="str">
        <f t="shared" si="66"/>
        <v>LOC STR</v>
      </c>
      <c r="I379" s="2" t="str">
        <f t="shared" si="67"/>
        <v>205</v>
      </c>
    </row>
    <row r="380" spans="1:9" x14ac:dyDescent="0.35">
      <c r="A380" s="2" t="str">
        <f t="shared" si="64"/>
        <v>FOND DU LAC</v>
      </c>
      <c r="B380" s="2" t="str">
        <f t="shared" si="65"/>
        <v>CITY OF FOND DU LAC</v>
      </c>
      <c r="C380" s="2" t="s">
        <v>150</v>
      </c>
      <c r="D380" s="2" t="str">
        <f>CLEAN("4986-12-71")</f>
        <v>4986-12-71</v>
      </c>
      <c r="E380" s="3" t="str">
        <f>CLEAN("C FOND DU LAC  WEST DIVISION STREET")</f>
        <v>C FOND DU LAC  WEST DIVISION STREET</v>
      </c>
      <c r="F380" s="3" t="str">
        <f>CLEAN("WEST BRANCH FOND DU LAC RIVER BRIDG")</f>
        <v>WEST BRANCH FOND DU LAC RIVER BRIDG</v>
      </c>
      <c r="G380" s="3" t="str">
        <f>CLEAN("CONST OPS/BRRPL B20-0242")</f>
        <v>CONST OPS/BRRPL B20-0242</v>
      </c>
      <c r="H380" s="2" t="str">
        <f t="shared" si="66"/>
        <v>LOC STR</v>
      </c>
      <c r="I380" s="2" t="str">
        <f t="shared" si="67"/>
        <v>205</v>
      </c>
    </row>
    <row r="381" spans="1:9" x14ac:dyDescent="0.35">
      <c r="A381" s="2" t="str">
        <f t="shared" si="64"/>
        <v>FOND DU LAC</v>
      </c>
      <c r="B381" s="2" t="str">
        <f t="shared" si="65"/>
        <v>CITY OF FOND DU LAC</v>
      </c>
      <c r="C381" s="2" t="s">
        <v>534</v>
      </c>
      <c r="D381" s="2" t="str">
        <f>CLEAN("4986-13-70")</f>
        <v>4986-13-70</v>
      </c>
      <c r="E381" s="3" t="str">
        <f>CLEAN("C FOND DU LAC STREET LIGHTING")</f>
        <v>C FOND DU LAC STREET LIGHTING</v>
      </c>
      <c r="F381" s="3" t="str">
        <f>CLEAN("C FDL  VARIOUS STREET LOCATIONS")</f>
        <v>C FDL  VARIOUS STREET LOCATIONS</v>
      </c>
      <c r="G381" s="3" t="str">
        <f>CLEAN("CONST/CRP/MISC")</f>
        <v>CONST/CRP/MISC</v>
      </c>
      <c r="H381" s="2" t="str">
        <f t="shared" si="66"/>
        <v>LOC STR</v>
      </c>
      <c r="I381" s="2" t="str">
        <f>CLEAN("206")</f>
        <v>206</v>
      </c>
    </row>
    <row r="382" spans="1:9" x14ac:dyDescent="0.35">
      <c r="A382" s="2" t="str">
        <f t="shared" ref="A382:A394" si="68">CLEAN("JEFFERSON")</f>
        <v>JEFFERSON</v>
      </c>
      <c r="B382" s="2" t="str">
        <f t="shared" ref="B382:B394" si="69">CLEAN("CITY OF FORT ATKINSON")</f>
        <v>CITY OF FORT ATKINSON</v>
      </c>
      <c r="C382" s="2" t="s">
        <v>2610</v>
      </c>
      <c r="D382" s="2" t="str">
        <f>CLEAN("3575-04-01")</f>
        <v>3575-04-01</v>
      </c>
      <c r="E382" s="3" t="str">
        <f>CLEAN("C FT ATKINSON  ROBERT STREET")</f>
        <v>C FT ATKINSON  ROBERT STREET</v>
      </c>
      <c r="F382" s="3" t="str">
        <f>CLEAN("ROCK RIVER BRIDGE B-28-0009")</f>
        <v>ROCK RIVER BRIDGE B-28-0009</v>
      </c>
      <c r="G382" s="3" t="str">
        <f>CLEAN("PE/ DECK REPLACEMENT")</f>
        <v>PE/ DECK REPLACEMENT</v>
      </c>
      <c r="H382" s="2" t="str">
        <f>CLEAN("USH 012")</f>
        <v>USH 012</v>
      </c>
      <c r="I382" s="2" t="str">
        <f>CLEAN("303")</f>
        <v>303</v>
      </c>
    </row>
    <row r="383" spans="1:9" x14ac:dyDescent="0.35">
      <c r="A383" s="2" t="str">
        <f t="shared" si="68"/>
        <v>JEFFERSON</v>
      </c>
      <c r="B383" s="2" t="str">
        <f t="shared" si="69"/>
        <v>CITY OF FORT ATKINSON</v>
      </c>
      <c r="C383" s="2" t="s">
        <v>1730</v>
      </c>
      <c r="D383" s="2" t="str">
        <f>CLEAN("3576-01-02")</f>
        <v>3576-01-02</v>
      </c>
      <c r="E383" s="3" t="str">
        <f>CLEAN("C FORT ATKINSON  RIVERSIDE DRIVE")</f>
        <v>C FORT ATKINSON  RIVERSIDE DRIVE</v>
      </c>
      <c r="F383" s="3" t="str">
        <f>CLEAN("PARK DRIVE TO ROBERT STREET")</f>
        <v>PARK DRIVE TO ROBERT STREET</v>
      </c>
      <c r="G383" s="3" t="str">
        <f>CLEAN("DESIGN/ PAVEMENT REPLACEMENT")</f>
        <v>DESIGN/ PAVEMENT REPLACEMENT</v>
      </c>
      <c r="H383" s="2" t="str">
        <f>CLEAN("STH 106")</f>
        <v>STH 106</v>
      </c>
      <c r="I383" s="2" t="str">
        <f>CLEAN("303")</f>
        <v>303</v>
      </c>
    </row>
    <row r="384" spans="1:9" x14ac:dyDescent="0.35">
      <c r="A384" s="2" t="str">
        <f t="shared" si="68"/>
        <v>JEFFERSON</v>
      </c>
      <c r="B384" s="2" t="str">
        <f t="shared" si="69"/>
        <v>CITY OF FORT ATKINSON</v>
      </c>
      <c r="C384" s="2" t="s">
        <v>1548</v>
      </c>
      <c r="D384" s="2" t="str">
        <f>CLEAN("3991-01-04")</f>
        <v>3991-01-04</v>
      </c>
      <c r="E384" s="3" t="str">
        <f>CLEAN("CITY FORT ATKINSON  S MAIN STREET")</f>
        <v>CITY FORT ATKINSON  S MAIN STREET</v>
      </c>
      <c r="F384" s="3" t="str">
        <f>CLEAN("ROCKWELL ST TO WHITEWATER AVE")</f>
        <v>ROCKWELL ST TO WHITEWATER AVE</v>
      </c>
      <c r="G384" s="3" t="str">
        <f>CLEAN("DESIGN - FULL PS&amp;E RESURFACE")</f>
        <v>DESIGN - FULL PS&amp;E RESURFACE</v>
      </c>
      <c r="H384" s="2" t="str">
        <f>CLEAN("LOC STR")</f>
        <v>LOC STR</v>
      </c>
      <c r="I384" s="2" t="str">
        <f>CLEAN("206")</f>
        <v>206</v>
      </c>
    </row>
    <row r="385" spans="1:9" x14ac:dyDescent="0.35">
      <c r="A385" s="2" t="str">
        <f t="shared" si="68"/>
        <v>JEFFERSON</v>
      </c>
      <c r="B385" s="2" t="str">
        <f t="shared" si="69"/>
        <v>CITY OF FORT ATKINSON</v>
      </c>
      <c r="C385" s="2" t="s">
        <v>1547</v>
      </c>
      <c r="D385" s="2" t="str">
        <f>CLEAN("3991-01-08")</f>
        <v>3991-01-08</v>
      </c>
      <c r="E385" s="3" t="str">
        <f>CLEAN("C FORT ATKINSON  COMMONWEALTH DRIVE")</f>
        <v>C FORT ATKINSON  COMMONWEALTH DRIVE</v>
      </c>
      <c r="F385" s="3" t="str">
        <f>CLEAN("LEXINGTON BLVD TO MONTCLAIR BLVD")</f>
        <v>LEXINGTON BLVD TO MONTCLAIR BLVD</v>
      </c>
      <c r="G385" s="3" t="str">
        <f>CLEAN("DESIGN - FULL PS&amp;E RESURFACE")</f>
        <v>DESIGN - FULL PS&amp;E RESURFACE</v>
      </c>
      <c r="H385" s="2" t="str">
        <f>CLEAN("LOC STR")</f>
        <v>LOC STR</v>
      </c>
      <c r="I385" s="2" t="str">
        <f>CLEAN("206")</f>
        <v>206</v>
      </c>
    </row>
    <row r="386" spans="1:9" x14ac:dyDescent="0.35">
      <c r="A386" s="2" t="str">
        <f t="shared" si="68"/>
        <v>JEFFERSON</v>
      </c>
      <c r="B386" s="2" t="str">
        <f t="shared" si="69"/>
        <v>CITY OF FORT ATKINSON</v>
      </c>
      <c r="C386" s="2" t="s">
        <v>2226</v>
      </c>
      <c r="D386" s="2" t="str">
        <f>CLEAN("3991-02-05")</f>
        <v>3991-02-05</v>
      </c>
      <c r="E386" s="3" t="str">
        <f>CLEAN("C FORT ATKINSON  BANKER ROAD")</f>
        <v>C FORT ATKINSON  BANKER ROAD</v>
      </c>
      <c r="F386" s="3" t="str">
        <f>CLEAN("CAMPUS DRIVE TO HOARD ROAD")</f>
        <v>CAMPUS DRIVE TO HOARD ROAD</v>
      </c>
      <c r="G386" s="3" t="str">
        <f>CLEAN("DESIGN/PLAN CHECK REVIEW/RECSTE")</f>
        <v>DESIGN/PLAN CHECK REVIEW/RECSTE</v>
      </c>
      <c r="H386" s="2" t="str">
        <f>CLEAN("LOC STR")</f>
        <v>LOC STR</v>
      </c>
      <c r="I386" s="2" t="str">
        <f>CLEAN("206")</f>
        <v>206</v>
      </c>
    </row>
    <row r="387" spans="1:9" x14ac:dyDescent="0.35">
      <c r="A387" s="2" t="str">
        <f t="shared" si="68"/>
        <v>JEFFERSON</v>
      </c>
      <c r="B387" s="2" t="str">
        <f t="shared" si="69"/>
        <v>CITY OF FORT ATKINSON</v>
      </c>
      <c r="C387" s="2" t="s">
        <v>2569</v>
      </c>
      <c r="D387" s="2" t="str">
        <f>CLEAN("1009-22-10")</f>
        <v>1009-22-10</v>
      </c>
      <c r="E387" s="3" t="str">
        <f>CLEAN("Ft Atkinson Main St Plan")</f>
        <v>Ft Atkinson Main St Plan</v>
      </c>
      <c r="F387" s="3" t="str">
        <f>CLEAN("MADISON AVE TO S 3RD ST")</f>
        <v>MADISON AVE TO S 3RD ST</v>
      </c>
      <c r="G387" s="3" t="str">
        <f>CLEAN("MAIN STREET COORIDOR PLAN")</f>
        <v>MAIN STREET COORIDOR PLAN</v>
      </c>
      <c r="H387" s="2" t="str">
        <f>CLEAN("NON HWY")</f>
        <v>NON HWY</v>
      </c>
      <c r="I387" s="2" t="str">
        <f>CLEAN("290")</f>
        <v>290</v>
      </c>
    </row>
    <row r="388" spans="1:9" x14ac:dyDescent="0.35">
      <c r="A388" s="2" t="str">
        <f t="shared" si="68"/>
        <v>JEFFERSON</v>
      </c>
      <c r="B388" s="2" t="str">
        <f t="shared" si="69"/>
        <v>CITY OF FORT ATKINSON</v>
      </c>
      <c r="C388" s="2" t="s">
        <v>1385</v>
      </c>
      <c r="D388" s="2" t="str">
        <f>CLEAN("1009-22-12")</f>
        <v>1009-22-12</v>
      </c>
      <c r="E388" s="3" t="str">
        <f>CLEAN("Janesville Ave Coord Plan")</f>
        <v>Janesville Ave Coord Plan</v>
      </c>
      <c r="F388" s="3" t="str">
        <f>CLEAN("MADISON AVE TO 3RD STREET")</f>
        <v>MADISON AVE TO 3RD STREET</v>
      </c>
      <c r="G388" s="3" t="str">
        <f>CLEAN("COORIDOR PLAN")</f>
        <v>COORIDOR PLAN</v>
      </c>
      <c r="H388" s="2" t="str">
        <f>CLEAN("NON HWY")</f>
        <v>NON HWY</v>
      </c>
      <c r="I388" s="2" t="str">
        <f>CLEAN("290")</f>
        <v>290</v>
      </c>
    </row>
    <row r="389" spans="1:9" x14ac:dyDescent="0.35">
      <c r="A389" s="2" t="str">
        <f t="shared" si="68"/>
        <v>JEFFERSON</v>
      </c>
      <c r="B389" s="2" t="str">
        <f t="shared" si="69"/>
        <v>CITY OF FORT ATKINSON</v>
      </c>
      <c r="C389" s="2" t="s">
        <v>175</v>
      </c>
      <c r="D389" s="2" t="str">
        <f>CLEAN("3575-02-73")</f>
        <v>3575-02-73</v>
      </c>
      <c r="E389" s="3" t="str">
        <f>CLEAN("C FORT ATKINSON  WHITEWATER AVENUE")</f>
        <v>C FORT ATKINSON  WHITEWATER AVENUE</v>
      </c>
      <c r="F389" s="3" t="str">
        <f>CLEAN("MADISON AVENUE TO CTH M")</f>
        <v>MADISON AVENUE TO CTH M</v>
      </c>
      <c r="G389" s="3" t="str">
        <f>CLEAN("CONST OPS/MILL AND OVERLAY")</f>
        <v>CONST OPS/MILL AND OVERLAY</v>
      </c>
      <c r="H389" s="2" t="str">
        <f>CLEAN("USH 012")</f>
        <v>USH 012</v>
      </c>
      <c r="I389" s="2" t="str">
        <f>CLEAN("303")</f>
        <v>303</v>
      </c>
    </row>
    <row r="390" spans="1:9" x14ac:dyDescent="0.35">
      <c r="A390" s="2" t="str">
        <f t="shared" si="68"/>
        <v>JEFFERSON</v>
      </c>
      <c r="B390" s="2" t="str">
        <f t="shared" si="69"/>
        <v>CITY OF FORT ATKINSON</v>
      </c>
      <c r="C390" s="2" t="s">
        <v>1152</v>
      </c>
      <c r="D390" s="2" t="str">
        <f>CLEAN("3575-04-81")</f>
        <v>3575-04-81</v>
      </c>
      <c r="E390" s="3" t="str">
        <f>CLEAN("C FT ATKINSON  ROBERT STREET")</f>
        <v>C FT ATKINSON  ROBERT STREET</v>
      </c>
      <c r="F390" s="3" t="str">
        <f>CLEAN("ROCK RIVER BRIDGE B-28-0009")</f>
        <v>ROCK RIVER BRIDGE B-28-0009</v>
      </c>
      <c r="G390" s="3" t="str">
        <f>CLEAN("CONSTRUCTION/ DECK REPLACEMENT")</f>
        <v>CONSTRUCTION/ DECK REPLACEMENT</v>
      </c>
      <c r="H390" s="2" t="str">
        <f>CLEAN("USH 012")</f>
        <v>USH 012</v>
      </c>
      <c r="I390" s="2" t="str">
        <f>CLEAN("303")</f>
        <v>303</v>
      </c>
    </row>
    <row r="391" spans="1:9" x14ac:dyDescent="0.35">
      <c r="A391" s="2" t="str">
        <f t="shared" si="68"/>
        <v>JEFFERSON</v>
      </c>
      <c r="B391" s="2" t="str">
        <f t="shared" si="69"/>
        <v>CITY OF FORT ATKINSON</v>
      </c>
      <c r="C391" s="2" t="s">
        <v>2922</v>
      </c>
      <c r="D391" s="2" t="str">
        <f>CLEAN("3991-00-01")</f>
        <v>3991-00-01</v>
      </c>
      <c r="E391" s="3" t="str">
        <f>CLEAN("C FORT ATKINSON  S MAIN ST PATH")</f>
        <v>C FORT ATKINSON  S MAIN ST PATH</v>
      </c>
      <c r="F391" s="3" t="str">
        <f>CLEAN("HACKBARTH ROAD TO ROCKWELL AVENUE")</f>
        <v>HACKBARTH ROAD TO ROCKWELL AVENUE</v>
      </c>
      <c r="G391" s="3" t="str">
        <f>CLEAN("PE/PL CHECK PEDESTRAIN PATH")</f>
        <v>PE/PL CHECK PEDESTRAIN PATH</v>
      </c>
      <c r="H391" s="2" t="str">
        <f>CLEAN("NON HWY")</f>
        <v>NON HWY</v>
      </c>
      <c r="I391" s="2" t="str">
        <f>CLEAN("290")</f>
        <v>290</v>
      </c>
    </row>
    <row r="392" spans="1:9" x14ac:dyDescent="0.35">
      <c r="A392" s="2" t="str">
        <f t="shared" si="68"/>
        <v>JEFFERSON</v>
      </c>
      <c r="B392" s="2" t="str">
        <f t="shared" si="69"/>
        <v>CITY OF FORT ATKINSON</v>
      </c>
      <c r="C392" s="2" t="s">
        <v>520</v>
      </c>
      <c r="D392" s="2" t="str">
        <f>CLEAN("3991-00-20")</f>
        <v>3991-00-20</v>
      </c>
      <c r="E392" s="3" t="str">
        <f>CLEAN("C FORT ATKINSON  MAIN STREET")</f>
        <v>C FORT ATKINSON  MAIN STREET</v>
      </c>
      <c r="F392" s="3" t="str">
        <f>CLEAN("MADISON AVE TO S. 3RD ST.")</f>
        <v>MADISON AVE TO S. 3RD ST.</v>
      </c>
      <c r="G392" s="3" t="str">
        <f>CLEAN("CONST/CARBON RED-LED LIGHTING")</f>
        <v>CONST/CARBON RED-LED LIGHTING</v>
      </c>
      <c r="H392" s="2" t="str">
        <f>CLEAN("STH 089")</f>
        <v>STH 089</v>
      </c>
      <c r="I392" s="2" t="str">
        <f>CLEAN("206")</f>
        <v>206</v>
      </c>
    </row>
    <row r="393" spans="1:9" x14ac:dyDescent="0.35">
      <c r="A393" s="2" t="str">
        <f t="shared" si="68"/>
        <v>JEFFERSON</v>
      </c>
      <c r="B393" s="2" t="str">
        <f t="shared" si="69"/>
        <v>CITY OF FORT ATKINSON</v>
      </c>
      <c r="C393" s="2" t="s">
        <v>3026</v>
      </c>
      <c r="D393" s="2" t="str">
        <f>CLEAN("3991-00-71")</f>
        <v>3991-00-71</v>
      </c>
      <c r="E393" s="3" t="str">
        <f>CLEAN("C FORT ATKINSON  S MAIN ST PATH")</f>
        <v>C FORT ATKINSON  S MAIN ST PATH</v>
      </c>
      <c r="F393" s="3" t="str">
        <f>CLEAN("HACKBARTH ROAD TO ROCKWELL AVENUE")</f>
        <v>HACKBARTH ROAD TO ROCKWELL AVENUE</v>
      </c>
      <c r="G393" s="3" t="str">
        <f>CLEAN("PEDESTRAIN MULTI-USE PATH")</f>
        <v>PEDESTRAIN MULTI-USE PATH</v>
      </c>
      <c r="H393" s="2" t="str">
        <f>CLEAN("NON HWY")</f>
        <v>NON HWY</v>
      </c>
      <c r="I393" s="2" t="str">
        <f>CLEAN("290")</f>
        <v>290</v>
      </c>
    </row>
    <row r="394" spans="1:9" x14ac:dyDescent="0.35">
      <c r="A394" s="2" t="str">
        <f t="shared" si="68"/>
        <v>JEFFERSON</v>
      </c>
      <c r="B394" s="2" t="str">
        <f t="shared" si="69"/>
        <v>CITY OF FORT ATKINSON</v>
      </c>
      <c r="C394" s="2" t="s">
        <v>1729</v>
      </c>
      <c r="D394" s="2" t="str">
        <f>CLEAN("3991-03-00")</f>
        <v>3991-03-00</v>
      </c>
      <c r="E394" s="3" t="str">
        <f>CLEAN("C FORT ATKINSON  SIDEWALKS")</f>
        <v>C FORT ATKINSON  SIDEWALKS</v>
      </c>
      <c r="F394" s="3" t="str">
        <f>CLEAN("C FORT ATKINSON  VARIOUS LOCATIONS")</f>
        <v>C FORT ATKINSON  VARIOUS LOCATIONS</v>
      </c>
      <c r="G394" s="3" t="str">
        <f>CLEAN("DESIGN PLAN CHECK REVIEW")</f>
        <v>DESIGN PLAN CHECK REVIEW</v>
      </c>
      <c r="H394" s="2" t="str">
        <f>CLEAN("NON HWY")</f>
        <v>NON HWY</v>
      </c>
      <c r="I394" s="2" t="str">
        <f>CLEAN("290")</f>
        <v>290</v>
      </c>
    </row>
    <row r="395" spans="1:9" x14ac:dyDescent="0.35">
      <c r="A395" s="2" t="str">
        <f>CLEAN("BUFFALO")</f>
        <v>BUFFALO</v>
      </c>
      <c r="B395" s="2" t="str">
        <f>CLEAN("CITY OF FOUNTAIN CITY")</f>
        <v>CITY OF FOUNTAIN CITY</v>
      </c>
      <c r="C395" s="2" t="s">
        <v>1353</v>
      </c>
      <c r="D395" s="2" t="str">
        <f>CLEAN("7160-04-76")</f>
        <v>7160-04-76</v>
      </c>
      <c r="E395" s="3" t="str">
        <f>CLEAN("TREMPEALEAU - ALMA")</f>
        <v>TREMPEALEAU - ALMA</v>
      </c>
      <c r="F395" s="3" t="str">
        <f>CLEAN("OLD STH 35 TO INDIAN CREEK RD")</f>
        <v>OLD STH 35 TO INDIAN CREEK RD</v>
      </c>
      <c r="G395" s="3" t="str">
        <f>CLEAN("CONSTRUCTION/RESURFACE")</f>
        <v>CONSTRUCTION/RESURFACE</v>
      </c>
      <c r="H395" s="2" t="str">
        <f>CLEAN("STH 035")</f>
        <v>STH 035</v>
      </c>
      <c r="I395" s="2" t="str">
        <f>CLEAN("303")</f>
        <v>303</v>
      </c>
    </row>
    <row r="396" spans="1:9" x14ac:dyDescent="0.35">
      <c r="A396" s="2" t="str">
        <f>CLEAN("DODGE")</f>
        <v>DODGE</v>
      </c>
      <c r="B396" s="2" t="str">
        <f>CLEAN("CITY OF FOX LAKE")</f>
        <v>CITY OF FOX LAKE</v>
      </c>
      <c r="C396" s="2" t="s">
        <v>2168</v>
      </c>
      <c r="D396" s="2" t="str">
        <f>CLEAN("6176-00-00")</f>
        <v>6176-00-00</v>
      </c>
      <c r="E396" s="3" t="str">
        <f>CLEAN("C FOX LAKE  TRENTON STREET")</f>
        <v>C FOX LAKE  TRENTON STREET</v>
      </c>
      <c r="F396" s="3" t="str">
        <f>CLEAN("MILL STREET TO SPRING ST (STH 33)")</f>
        <v>MILL STREET TO SPRING ST (STH 33)</v>
      </c>
      <c r="G396" s="3" t="str">
        <f>CLEAN("DESIGN/PLAN CHECK REVIEW/RECOND")</f>
        <v>DESIGN/PLAN CHECK REVIEW/RECOND</v>
      </c>
      <c r="H396" s="2" t="str">
        <f>CLEAN("LOC STR")</f>
        <v>LOC STR</v>
      </c>
      <c r="I396" s="2" t="str">
        <f>CLEAN("206")</f>
        <v>206</v>
      </c>
    </row>
    <row r="397" spans="1:9" x14ac:dyDescent="0.35">
      <c r="A397" s="2" t="str">
        <f t="shared" ref="A397:A408" si="70">CLEAN("MILWAUKEE")</f>
        <v>MILWAUKEE</v>
      </c>
      <c r="B397" s="2" t="str">
        <f t="shared" ref="B397:B408" si="71">CLEAN("CITY OF FRANKLIN")</f>
        <v>CITY OF FRANKLIN</v>
      </c>
      <c r="C397" s="2" t="s">
        <v>3157</v>
      </c>
      <c r="D397" s="2" t="str">
        <f>CLEAN("2265-09-22")</f>
        <v>2265-09-22</v>
      </c>
      <c r="E397" s="3" t="str">
        <f>CLEAN("OAK CREEK - MILWAUKEE")</f>
        <v>OAK CREEK - MILWAUKEE</v>
      </c>
      <c r="F397" s="3" t="str">
        <f>CLEAN("W ELM ROAD TO W VILLA DRIVE")</f>
        <v>W ELM ROAD TO W VILLA DRIVE</v>
      </c>
      <c r="G397" s="3" t="str">
        <f>CLEAN("RE/RSRF30")</f>
        <v>RE/RSRF30</v>
      </c>
      <c r="H397" s="2" t="str">
        <f>CLEAN("STH 241")</f>
        <v>STH 241</v>
      </c>
      <c r="I397" s="2" t="str">
        <f>CLEAN("303")</f>
        <v>303</v>
      </c>
    </row>
    <row r="398" spans="1:9" x14ac:dyDescent="0.35">
      <c r="A398" s="2" t="str">
        <f t="shared" si="70"/>
        <v>MILWAUKEE</v>
      </c>
      <c r="B398" s="2" t="str">
        <f t="shared" si="71"/>
        <v>CITY OF FRANKLIN</v>
      </c>
      <c r="C398" s="2" t="s">
        <v>3158</v>
      </c>
      <c r="D398" s="2" t="str">
        <f>CLEAN("2265-09-23")</f>
        <v>2265-09-23</v>
      </c>
      <c r="E398" s="3" t="str">
        <f>CLEAN("OAK CREEK - MILWAUKEE")</f>
        <v>OAK CREEK - MILWAUKEE</v>
      </c>
      <c r="F398" s="3" t="str">
        <f>CLEAN("W ELM ROAD TO W VILLA DRIVE")</f>
        <v>W ELM ROAD TO W VILLA DRIVE</v>
      </c>
      <c r="G398" s="3" t="str">
        <f>CLEAN("RE/RSRF30")</f>
        <v>RE/RSRF30</v>
      </c>
      <c r="H398" s="2" t="str">
        <f>CLEAN("STH 241")</f>
        <v>STH 241</v>
      </c>
      <c r="I398" s="2" t="str">
        <f>CLEAN("303")</f>
        <v>303</v>
      </c>
    </row>
    <row r="399" spans="1:9" x14ac:dyDescent="0.35">
      <c r="A399" s="2" t="str">
        <f t="shared" si="70"/>
        <v>MILWAUKEE</v>
      </c>
      <c r="B399" s="2" t="str">
        <f t="shared" si="71"/>
        <v>CITY OF FRANKLIN</v>
      </c>
      <c r="C399" s="2" t="s">
        <v>2824</v>
      </c>
      <c r="D399" s="2" t="str">
        <f>CLEAN("2976-04-01")</f>
        <v>2976-04-01</v>
      </c>
      <c r="E399" s="3" t="str">
        <f>CLEAN("C FRANKLIN  PUETZ RD PATHWAY")</f>
        <v>C FRANKLIN  PUETZ RD PATHWAY</v>
      </c>
      <c r="F399" s="3" t="str">
        <f>CLEAN("S 76TH ST TO W ST MARTINS RD")</f>
        <v>S 76TH ST TO W ST MARTINS RD</v>
      </c>
      <c r="G399" s="3" t="str">
        <f>CLEAN("PE/FULL PSE/BIKE PED PATH")</f>
        <v>PE/FULL PSE/BIKE PED PATH</v>
      </c>
      <c r="H399" s="2" t="str">
        <f>CLEAN("NON HWY")</f>
        <v>NON HWY</v>
      </c>
      <c r="I399" s="2" t="str">
        <f>CLEAN("290")</f>
        <v>290</v>
      </c>
    </row>
    <row r="400" spans="1:9" x14ac:dyDescent="0.35">
      <c r="A400" s="2" t="str">
        <f t="shared" si="70"/>
        <v>MILWAUKEE</v>
      </c>
      <c r="B400" s="2" t="str">
        <f t="shared" si="71"/>
        <v>CITY OF FRANKLIN</v>
      </c>
      <c r="C400" s="2" t="s">
        <v>773</v>
      </c>
      <c r="D400" s="2" t="str">
        <f>CLEAN("2040-14-70")</f>
        <v>2040-14-70</v>
      </c>
      <c r="E400" s="3" t="str">
        <f>CLEAN("LOVERS LANE (CITY OF FRANKLIN)")</f>
        <v>LOVERS LANE (CITY OF FRANKLIN)</v>
      </c>
      <c r="F400" s="3" t="str">
        <f>CLEAN("RAWSON AVE TO COLLEGE AVE")</f>
        <v>RAWSON AVE TO COLLEGE AVE</v>
      </c>
      <c r="G400" s="3" t="str">
        <f>CLEAN("CONST/RECONSTRUCT")</f>
        <v>CONST/RECONSTRUCT</v>
      </c>
      <c r="H400" s="2" t="str">
        <f>CLEAN("USH 045")</f>
        <v>USH 045</v>
      </c>
      <c r="I400" s="2" t="str">
        <f t="shared" ref="I400:I405" si="72">CLEAN("303")</f>
        <v>303</v>
      </c>
    </row>
    <row r="401" spans="1:9" x14ac:dyDescent="0.35">
      <c r="A401" s="2" t="str">
        <f t="shared" si="70"/>
        <v>MILWAUKEE</v>
      </c>
      <c r="B401" s="2" t="str">
        <f t="shared" si="71"/>
        <v>CITY OF FRANKLIN</v>
      </c>
      <c r="C401" s="2" t="s">
        <v>3147</v>
      </c>
      <c r="D401" s="2" t="str">
        <f>CLEAN("2040-15-24")</f>
        <v>2040-15-24</v>
      </c>
      <c r="E401" s="3" t="str">
        <f>CLEAN("C FRANKLIN  LOVERS LANE")</f>
        <v>C FRANKLIN  LOVERS LANE</v>
      </c>
      <c r="F401" s="3" t="str">
        <f>CLEAN("60TH STREET TO ST MARTINS ROAD")</f>
        <v>60TH STREET TO ST MARTINS ROAD</v>
      </c>
      <c r="G401" s="3" t="str">
        <f>CLEAN("RE/RECONSTRUCT PRESERVATION")</f>
        <v>RE/RECONSTRUCT PRESERVATION</v>
      </c>
      <c r="H401" s="2" t="str">
        <f>CLEAN("STH 100")</f>
        <v>STH 100</v>
      </c>
      <c r="I401" s="2" t="str">
        <f t="shared" si="72"/>
        <v>303</v>
      </c>
    </row>
    <row r="402" spans="1:9" x14ac:dyDescent="0.35">
      <c r="A402" s="2" t="str">
        <f t="shared" si="70"/>
        <v>MILWAUKEE</v>
      </c>
      <c r="B402" s="2" t="str">
        <f t="shared" si="71"/>
        <v>CITY OF FRANKLIN</v>
      </c>
      <c r="C402" s="2" t="s">
        <v>652</v>
      </c>
      <c r="D402" s="2" t="str">
        <f>CLEAN("2040-15-73")</f>
        <v>2040-15-73</v>
      </c>
      <c r="E402" s="3" t="str">
        <f>CLEAN("C FRANKLIN  RYAN RD/ST MARTINS RD")</f>
        <v>C FRANKLIN  RYAN RD/ST MARTINS RD</v>
      </c>
      <c r="F402" s="3" t="str">
        <f>CLEAN("60TH STREET TO ST MARTINS ROAD")</f>
        <v>60TH STREET TO ST MARTINS ROAD</v>
      </c>
      <c r="G402" s="3" t="str">
        <f>CLEAN("CONST/PAVE REPLACE")</f>
        <v>CONST/PAVE REPLACE</v>
      </c>
      <c r="H402" s="2" t="str">
        <f>CLEAN("STH 100")</f>
        <v>STH 100</v>
      </c>
      <c r="I402" s="2" t="str">
        <f t="shared" si="72"/>
        <v>303</v>
      </c>
    </row>
    <row r="403" spans="1:9" x14ac:dyDescent="0.35">
      <c r="A403" s="2" t="str">
        <f t="shared" si="70"/>
        <v>MILWAUKEE</v>
      </c>
      <c r="B403" s="2" t="str">
        <f t="shared" si="71"/>
        <v>CITY OF FRANKLIN</v>
      </c>
      <c r="C403" s="2" t="s">
        <v>983</v>
      </c>
      <c r="D403" s="2" t="str">
        <f>CLEAN("2040-21-70")</f>
        <v>2040-21-70</v>
      </c>
      <c r="E403" s="3" t="str">
        <f>CLEAN("C FRANKLIN  LOVERS LANE ROAD")</f>
        <v>C FRANKLIN  LOVERS LANE ROAD</v>
      </c>
      <c r="F403" s="3" t="str">
        <f>CLEAN("ST MARTINS RD TO RAWSON AV (CTH BB)")</f>
        <v>ST MARTINS RD TO RAWSON AV (CTH BB)</v>
      </c>
      <c r="G403" s="3" t="str">
        <f>CLEAN("CONST/RESURFACE")</f>
        <v>CONST/RESURFACE</v>
      </c>
      <c r="H403" s="2" t="str">
        <f>CLEAN("USH 045")</f>
        <v>USH 045</v>
      </c>
      <c r="I403" s="2" t="str">
        <f t="shared" si="72"/>
        <v>303</v>
      </c>
    </row>
    <row r="404" spans="1:9" x14ac:dyDescent="0.35">
      <c r="A404" s="2" t="str">
        <f t="shared" si="70"/>
        <v>MILWAUKEE</v>
      </c>
      <c r="B404" s="2" t="str">
        <f t="shared" si="71"/>
        <v>CITY OF FRANKLIN</v>
      </c>
      <c r="C404" s="2" t="s">
        <v>984</v>
      </c>
      <c r="D404" s="2" t="str">
        <f>CLEAN("2240-00-78")</f>
        <v>2240-00-78</v>
      </c>
      <c r="E404" s="3" t="str">
        <f>CLEAN("WATERFORD - MILWAUKEE")</f>
        <v>WATERFORD - MILWAUKEE</v>
      </c>
      <c r="F404" s="3" t="str">
        <f>CLEAN("STH 100 TO 51ST STREET")</f>
        <v>STH 100 TO 51ST STREET</v>
      </c>
      <c r="G404" s="3" t="str">
        <f>CLEAN("CONST/RESURFACE")</f>
        <v>CONST/RESURFACE</v>
      </c>
      <c r="H404" s="2" t="str">
        <f>CLEAN("STH 036")</f>
        <v>STH 036</v>
      </c>
      <c r="I404" s="2" t="str">
        <f t="shared" si="72"/>
        <v>303</v>
      </c>
    </row>
    <row r="405" spans="1:9" x14ac:dyDescent="0.35">
      <c r="A405" s="2" t="str">
        <f t="shared" si="70"/>
        <v>MILWAUKEE</v>
      </c>
      <c r="B405" s="2" t="str">
        <f t="shared" si="71"/>
        <v>CITY OF FRANKLIN</v>
      </c>
      <c r="C405" s="2" t="s">
        <v>379</v>
      </c>
      <c r="D405" s="2" t="str">
        <f>CLEAN("2265-10-71")</f>
        <v>2265-10-71</v>
      </c>
      <c r="E405" s="3" t="str">
        <f>CLEAN("OAK CREEK - MILWAUKEE")</f>
        <v>OAK CREEK - MILWAUKEE</v>
      </c>
      <c r="F405" s="3" t="str">
        <f>CLEAN("8 MILE RD TO ELM RD  B40-954")</f>
        <v>8 MILE RD TO ELM RD  B40-954</v>
      </c>
      <c r="G405" s="3" t="str">
        <f>CLEAN("CONST/BRIDGE DECK REPLACEMENT")</f>
        <v>CONST/BRIDGE DECK REPLACEMENT</v>
      </c>
      <c r="H405" s="2" t="str">
        <f>CLEAN("STH 241")</f>
        <v>STH 241</v>
      </c>
      <c r="I405" s="2" t="str">
        <f t="shared" si="72"/>
        <v>303</v>
      </c>
    </row>
    <row r="406" spans="1:9" x14ac:dyDescent="0.35">
      <c r="A406" s="2" t="str">
        <f t="shared" si="70"/>
        <v>MILWAUKEE</v>
      </c>
      <c r="B406" s="2" t="str">
        <f t="shared" si="71"/>
        <v>CITY OF FRANKLIN</v>
      </c>
      <c r="C406" s="2" t="s">
        <v>2630</v>
      </c>
      <c r="D406" s="2" t="str">
        <f>CLEAN("2976-00-02")</f>
        <v>2976-00-02</v>
      </c>
      <c r="E406" s="3" t="str">
        <f>CLEAN("C FRANKLIN  116TH ST TRAIL")</f>
        <v>C FRANKLIN  116TH ST TRAIL</v>
      </c>
      <c r="F406" s="3" t="str">
        <f>CLEAN("W RYAN RD TO W MAYERS DR")</f>
        <v>W RYAN RD TO W MAYERS DR</v>
      </c>
      <c r="G406" s="3" t="str">
        <f>CLEAN("PE/BIKE/PED TRAIL")</f>
        <v>PE/BIKE/PED TRAIL</v>
      </c>
      <c r="H406" s="2" t="str">
        <f>CLEAN("NON HWY")</f>
        <v>NON HWY</v>
      </c>
      <c r="I406" s="2" t="str">
        <f>CLEAN("211")</f>
        <v>211</v>
      </c>
    </row>
    <row r="407" spans="1:9" x14ac:dyDescent="0.35">
      <c r="A407" s="2" t="str">
        <f t="shared" si="70"/>
        <v>MILWAUKEE</v>
      </c>
      <c r="B407" s="2" t="str">
        <f t="shared" si="71"/>
        <v>CITY OF FRANKLIN</v>
      </c>
      <c r="C407" s="2" t="s">
        <v>374</v>
      </c>
      <c r="D407" s="2" t="str">
        <f>CLEAN("2976-00-72")</f>
        <v>2976-00-72</v>
      </c>
      <c r="E407" s="3" t="str">
        <f>CLEAN("C FRANKLIN  116TH ST TRAIL")</f>
        <v>C FRANKLIN  116TH ST TRAIL</v>
      </c>
      <c r="F407" s="3" t="str">
        <f>CLEAN("W RYAN RD TO W MAYERS DR")</f>
        <v>W RYAN RD TO W MAYERS DR</v>
      </c>
      <c r="G407" s="3" t="str">
        <f>CLEAN("CONST/BIKE/PED TRAIL")</f>
        <v>CONST/BIKE/PED TRAIL</v>
      </c>
      <c r="H407" s="2" t="str">
        <f>CLEAN("NON HWY")</f>
        <v>NON HWY</v>
      </c>
      <c r="I407" s="2" t="str">
        <f>CLEAN("211")</f>
        <v>211</v>
      </c>
    </row>
    <row r="408" spans="1:9" x14ac:dyDescent="0.35">
      <c r="A408" s="2" t="str">
        <f t="shared" si="70"/>
        <v>MILWAUKEE</v>
      </c>
      <c r="B408" s="2" t="str">
        <f t="shared" si="71"/>
        <v>CITY OF FRANKLIN</v>
      </c>
      <c r="C408" s="2" t="s">
        <v>3353</v>
      </c>
      <c r="D408" s="2" t="str">
        <f>CLEAN("3700-20-74")</f>
        <v>3700-20-74</v>
      </c>
      <c r="E408" s="3" t="str">
        <f>CLEAN("REPLACE EXISTING SIGNALS  MILW/WAUK")</f>
        <v>REPLACE EXISTING SIGNALS  MILW/WAUK</v>
      </c>
      <c r="F408" s="3" t="str">
        <f>CLEAN("VARIOUS LOCATIONS")</f>
        <v>VARIOUS LOCATIONS</v>
      </c>
      <c r="G408" s="3" t="str">
        <f>CLEAN("TRAFFI/REPLACE SIGNALS MILW/WAUK CO")</f>
        <v>TRAFFI/REPLACE SIGNALS MILW/WAUK CO</v>
      </c>
      <c r="H408" s="2" t="str">
        <f>CLEAN("VAR HWY")</f>
        <v>VAR HWY</v>
      </c>
      <c r="I408" s="2" t="str">
        <f>CLEAN("305")</f>
        <v>305</v>
      </c>
    </row>
    <row r="409" spans="1:9" x14ac:dyDescent="0.35">
      <c r="A409" s="2" t="str">
        <f>CLEAN("OCONTO")</f>
        <v>OCONTO</v>
      </c>
      <c r="B409" s="2" t="str">
        <f>CLEAN("CITY OF GILLETT")</f>
        <v>CITY OF GILLETT</v>
      </c>
      <c r="C409" s="2" t="s">
        <v>835</v>
      </c>
      <c r="D409" s="2" t="str">
        <f>CLEAN("9180-35-71")</f>
        <v>9180-35-71</v>
      </c>
      <c r="E409" s="3" t="str">
        <f>CLEAN("C. GILLETT  MAIN &amp; McKENZIE STRTS")</f>
        <v>C. GILLETT  MAIN &amp; McKENZIE STRTS</v>
      </c>
      <c r="F409" s="3" t="str">
        <f>CLEAN("S CPL - N CPL")</f>
        <v>S CPL - N CPL</v>
      </c>
      <c r="G409" s="3" t="str">
        <f>CLEAN("CONST/RECST")</f>
        <v>CONST/RECST</v>
      </c>
      <c r="H409" s="2" t="str">
        <f>CLEAN("STH 022")</f>
        <v>STH 022</v>
      </c>
      <c r="I409" s="2" t="str">
        <f>CLEAN("303")</f>
        <v>303</v>
      </c>
    </row>
    <row r="410" spans="1:9" x14ac:dyDescent="0.35">
      <c r="A410" s="2" t="str">
        <f>CLEAN("MILWAUKEE")</f>
        <v>MILWAUKEE</v>
      </c>
      <c r="B410" s="2" t="str">
        <f t="shared" ref="B410:B424" si="73">CLEAN("CITY OF GLENDALE")</f>
        <v>CITY OF GLENDALE</v>
      </c>
      <c r="C410" s="2" t="s">
        <v>2997</v>
      </c>
      <c r="D410" s="2" t="str">
        <f>CLEAN("2090-07-01")</f>
        <v>2090-07-01</v>
      </c>
      <c r="E410" s="3" t="str">
        <f>CLEAN("C GLENDALE  SILVER SPRING DR")</f>
        <v>C GLENDALE  SILVER SPRING DR</v>
      </c>
      <c r="F410" s="3" t="str">
        <f>CLEAN("N 27TH ST TO MILWAUKEE RIVER")</f>
        <v>N 27TH ST TO MILWAUKEE RIVER</v>
      </c>
      <c r="G410" s="3" t="str">
        <f>CLEAN("PE/STATE REVIEW ONLY")</f>
        <v>PE/STATE REVIEW ONLY</v>
      </c>
      <c r="H410" s="2" t="str">
        <f>CLEAN("LOC STR")</f>
        <v>LOC STR</v>
      </c>
      <c r="I410" s="2" t="str">
        <f>CLEAN("206")</f>
        <v>206</v>
      </c>
    </row>
    <row r="411" spans="1:9" x14ac:dyDescent="0.35">
      <c r="A411" s="2" t="str">
        <f>CLEAN("MILWAUKEE")</f>
        <v>MILWAUKEE</v>
      </c>
      <c r="B411" s="2" t="str">
        <f t="shared" si="73"/>
        <v>CITY OF GLENDALE</v>
      </c>
      <c r="C411" s="2" t="s">
        <v>3150</v>
      </c>
      <c r="D411" s="2" t="str">
        <f>CLEAN("1229-04-24")</f>
        <v>1229-04-24</v>
      </c>
      <c r="E411" s="3" t="str">
        <f>CLEAN("I-43 NORTH SOUTH FREEWAY")</f>
        <v>I-43 NORTH SOUTH FREEWAY</v>
      </c>
      <c r="F411" s="3" t="str">
        <f>CLEAN("SILVER SPRING TO COUNTY LINE RD")</f>
        <v>SILVER SPRING TO COUNTY LINE RD</v>
      </c>
      <c r="G411" s="3" t="str">
        <f>CLEAN("RE/RECONSTRUCT WITH EXPANSION")</f>
        <v>RE/RECONSTRUCT WITH EXPANSION</v>
      </c>
      <c r="H411" s="2" t="str">
        <f>CLEAN("IH  043")</f>
        <v>IH  043</v>
      </c>
      <c r="I411" s="2" t="str">
        <f t="shared" ref="I411:I416" si="74">CLEAN("302")</f>
        <v>302</v>
      </c>
    </row>
    <row r="412" spans="1:9" x14ac:dyDescent="0.35">
      <c r="A412" s="2" t="str">
        <f>CLEAN("OZAUKEE")</f>
        <v>OZAUKEE</v>
      </c>
      <c r="B412" s="2" t="str">
        <f t="shared" si="73"/>
        <v>CITY OF GLENDALE</v>
      </c>
      <c r="C412" s="2" t="s">
        <v>1110</v>
      </c>
      <c r="D412" s="2" t="str">
        <f>CLEAN("1229-04-70")</f>
        <v>1229-04-70</v>
      </c>
      <c r="E412" s="3" t="str">
        <f>CLEAN("I-43 NORTH SOUTH FREEWAY")</f>
        <v>I-43 NORTH SOUTH FREEWAY</v>
      </c>
      <c r="F412" s="3" t="str">
        <f>CLEAN("SILVER SPRING DR TO STH 60")</f>
        <v>SILVER SPRING DR TO STH 60</v>
      </c>
      <c r="G412" s="3" t="str">
        <f>CLEAN("CONST/WORK ZONE PREP")</f>
        <v>CONST/WORK ZONE PREP</v>
      </c>
      <c r="H412" s="2" t="str">
        <f>CLEAN("IH  043")</f>
        <v>IH  043</v>
      </c>
      <c r="I412" s="2" t="str">
        <f t="shared" si="74"/>
        <v>302</v>
      </c>
    </row>
    <row r="413" spans="1:9" x14ac:dyDescent="0.35">
      <c r="A413" s="2" t="str">
        <f t="shared" ref="A413:A424" si="75">CLEAN("MILWAUKEE")</f>
        <v>MILWAUKEE</v>
      </c>
      <c r="B413" s="2" t="str">
        <f t="shared" si="73"/>
        <v>CITY OF GLENDALE</v>
      </c>
      <c r="C413" s="2" t="s">
        <v>690</v>
      </c>
      <c r="D413" s="2" t="str">
        <f>CLEAN("1229-04-71")</f>
        <v>1229-04-71</v>
      </c>
      <c r="E413" s="3" t="str">
        <f>CLEAN("CITY GLENDALE  N PORT WASHINGTON RD")</f>
        <v>CITY GLENDALE  N PORT WASHINGTON RD</v>
      </c>
      <c r="F413" s="3" t="str">
        <f>CLEAN("BENDER RD TO W DAPHNE RD")</f>
        <v>BENDER RD TO W DAPHNE RD</v>
      </c>
      <c r="G413" s="3" t="str">
        <f>CLEAN("CONST/PHASE 2 RECST W/ EXPANSION")</f>
        <v>CONST/PHASE 2 RECST W/ EXPANSION</v>
      </c>
      <c r="H413" s="2" t="str">
        <f>CLEAN("LOC STR")</f>
        <v>LOC STR</v>
      </c>
      <c r="I413" s="2" t="str">
        <f t="shared" si="74"/>
        <v>302</v>
      </c>
    </row>
    <row r="414" spans="1:9" x14ac:dyDescent="0.35">
      <c r="A414" s="2" t="str">
        <f t="shared" si="75"/>
        <v>MILWAUKEE</v>
      </c>
      <c r="B414" s="2" t="str">
        <f t="shared" si="73"/>
        <v>CITY OF GLENDALE</v>
      </c>
      <c r="C414" s="2" t="s">
        <v>691</v>
      </c>
      <c r="D414" s="2" t="str">
        <f>CLEAN("1229-04-72")</f>
        <v>1229-04-72</v>
      </c>
      <c r="E414" s="3" t="str">
        <f>CLEAN("I-43 NORTH SOUTH FREEWAY")</f>
        <v>I-43 NORTH SOUTH FREEWAY</v>
      </c>
      <c r="F414" s="3" t="str">
        <f>CLEAN("UNION PACIFIC RR BRIDGE B-40-921")</f>
        <v>UNION PACIFIC RR BRIDGE B-40-921</v>
      </c>
      <c r="G414" s="3" t="str">
        <f>CLEAN("CONST/PHASE 3 RECST W/ EXPANSION")</f>
        <v>CONST/PHASE 3 RECST W/ EXPANSION</v>
      </c>
      <c r="H414" s="2" t="str">
        <f>CLEAN("IH  043")</f>
        <v>IH  043</v>
      </c>
      <c r="I414" s="2" t="str">
        <f t="shared" si="74"/>
        <v>302</v>
      </c>
    </row>
    <row r="415" spans="1:9" x14ac:dyDescent="0.35">
      <c r="A415" s="2" t="str">
        <f t="shared" si="75"/>
        <v>MILWAUKEE</v>
      </c>
      <c r="B415" s="2" t="str">
        <f t="shared" si="73"/>
        <v>CITY OF GLENDALE</v>
      </c>
      <c r="C415" s="2" t="s">
        <v>818</v>
      </c>
      <c r="D415" s="2" t="str">
        <f>CLEAN("1229-04-73")</f>
        <v>1229-04-73</v>
      </c>
      <c r="E415" s="3" t="str">
        <f>CLEAN("I-43 NORTH SOUTH FREEWAY")</f>
        <v>I-43 NORTH SOUTH FREEWAY</v>
      </c>
      <c r="F415" s="3" t="str">
        <f>CLEAN("BENDER ROAD TO BROWN DEER ROAD")</f>
        <v>BENDER ROAD TO BROWN DEER ROAD</v>
      </c>
      <c r="G415" s="3" t="str">
        <f>CLEAN("CONST/RECONSTRUCTION W/ EXPANSION")</f>
        <v>CONST/RECONSTRUCTION W/ EXPANSION</v>
      </c>
      <c r="H415" s="2" t="str">
        <f>CLEAN("IH  043")</f>
        <v>IH  043</v>
      </c>
      <c r="I415" s="2" t="str">
        <f t="shared" si="74"/>
        <v>302</v>
      </c>
    </row>
    <row r="416" spans="1:9" x14ac:dyDescent="0.35">
      <c r="A416" s="2" t="str">
        <f t="shared" si="75"/>
        <v>MILWAUKEE</v>
      </c>
      <c r="B416" s="2" t="str">
        <f t="shared" si="73"/>
        <v>CITY OF GLENDALE</v>
      </c>
      <c r="C416" s="2" t="s">
        <v>1079</v>
      </c>
      <c r="D416" s="2" t="str">
        <f>CLEAN("1229-04-77")</f>
        <v>1229-04-77</v>
      </c>
      <c r="E416" s="3" t="str">
        <f>CLEAN("C GLENDALE  GREEN BAY ROAD")</f>
        <v>C GLENDALE  GREEN BAY ROAD</v>
      </c>
      <c r="F416" s="3" t="str">
        <f>CLEAN("INTERSECTION WITH RANGE LINE RD")</f>
        <v>INTERSECTION WITH RANGE LINE RD</v>
      </c>
      <c r="G416" s="3" t="str">
        <f>CLEAN("CONST/TRAFFIC SIGNALS")</f>
        <v>CONST/TRAFFIC SIGNALS</v>
      </c>
      <c r="H416" s="2" t="str">
        <f>CLEAN("STH 057")</f>
        <v>STH 057</v>
      </c>
      <c r="I416" s="2" t="str">
        <f t="shared" si="74"/>
        <v>302</v>
      </c>
    </row>
    <row r="417" spans="1:9" x14ac:dyDescent="0.35">
      <c r="A417" s="2" t="str">
        <f t="shared" si="75"/>
        <v>MILWAUKEE</v>
      </c>
      <c r="B417" s="2" t="str">
        <f t="shared" si="73"/>
        <v>CITY OF GLENDALE</v>
      </c>
      <c r="C417" s="2" t="s">
        <v>828</v>
      </c>
      <c r="D417" s="2" t="str">
        <f>CLEAN("2090-07-71")</f>
        <v>2090-07-71</v>
      </c>
      <c r="E417" s="3" t="str">
        <f>CLEAN("C GLENDALE  SILVER SPRING DR")</f>
        <v>C GLENDALE  SILVER SPRING DR</v>
      </c>
      <c r="F417" s="3" t="str">
        <f>CLEAN("N 27TH ST TO MILWAUKEE RIVER")</f>
        <v>N 27TH ST TO MILWAUKEE RIVER</v>
      </c>
      <c r="G417" s="3" t="str">
        <f>CLEAN("CONST/RECST")</f>
        <v>CONST/RECST</v>
      </c>
      <c r="H417" s="2" t="str">
        <f>CLEAN("LOC STR")</f>
        <v>LOC STR</v>
      </c>
      <c r="I417" s="2" t="str">
        <f>CLEAN("206")</f>
        <v>206</v>
      </c>
    </row>
    <row r="418" spans="1:9" x14ac:dyDescent="0.35">
      <c r="A418" s="2" t="str">
        <f t="shared" si="75"/>
        <v>MILWAUKEE</v>
      </c>
      <c r="B418" s="2" t="str">
        <f t="shared" si="73"/>
        <v>CITY OF GLENDALE</v>
      </c>
      <c r="C418" s="2" t="s">
        <v>2681</v>
      </c>
      <c r="D418" s="2" t="str">
        <f>CLEAN("2565-00-05")</f>
        <v>2565-00-05</v>
      </c>
      <c r="E418" s="3" t="str">
        <f>CLEAN("C GLENDALE  N GREEN BAY AVE")</f>
        <v>C GLENDALE  N GREEN BAY AVE</v>
      </c>
      <c r="F418" s="3" t="str">
        <f>CLEAN("SILVER SPRING-0.1 MI S OF FAIRLANE")</f>
        <v>SILVER SPRING-0.1 MI S OF FAIRLANE</v>
      </c>
      <c r="G418" s="3" t="str">
        <f>CLEAN("PE/FULL PS&amp;E /RSRF25")</f>
        <v>PE/FULL PS&amp;E /RSRF25</v>
      </c>
      <c r="H418" s="2" t="str">
        <f>CLEAN("STH 057")</f>
        <v>STH 057</v>
      </c>
      <c r="I418" s="2" t="str">
        <f>CLEAN("303")</f>
        <v>303</v>
      </c>
    </row>
    <row r="419" spans="1:9" x14ac:dyDescent="0.35">
      <c r="A419" s="2" t="str">
        <f t="shared" si="75"/>
        <v>MILWAUKEE</v>
      </c>
      <c r="B419" s="2" t="str">
        <f t="shared" si="73"/>
        <v>CITY OF GLENDALE</v>
      </c>
      <c r="C419" s="2" t="s">
        <v>1090</v>
      </c>
      <c r="D419" s="2" t="str">
        <f>CLEAN("2565-02-71")</f>
        <v>2565-02-71</v>
      </c>
      <c r="E419" s="3" t="str">
        <f>CLEAN("C GLENDALE  N GREEN BAY AVE")</f>
        <v>C GLENDALE  N GREEN BAY AVE</v>
      </c>
      <c r="F419" s="3" t="str">
        <f>CLEAN("INTERSECTION WITH CTH PP")</f>
        <v>INTERSECTION WITH CTH PP</v>
      </c>
      <c r="G419" s="3" t="str">
        <f>CLEAN("CONST/TURNING LANES HSIP")</f>
        <v>CONST/TURNING LANES HSIP</v>
      </c>
      <c r="H419" s="2" t="str">
        <f>CLEAN("STH 057")</f>
        <v>STH 057</v>
      </c>
      <c r="I419" s="2" t="str">
        <f>CLEAN("303")</f>
        <v>303</v>
      </c>
    </row>
    <row r="420" spans="1:9" x14ac:dyDescent="0.35">
      <c r="A420" s="2" t="str">
        <f t="shared" si="75"/>
        <v>MILWAUKEE</v>
      </c>
      <c r="B420" s="2" t="str">
        <f t="shared" si="73"/>
        <v>CITY OF GLENDALE</v>
      </c>
      <c r="C420" s="2" t="s">
        <v>556</v>
      </c>
      <c r="D420" s="2" t="str">
        <f>CLEAN("2565-03-73")</f>
        <v>2565-03-73</v>
      </c>
      <c r="E420" s="3" t="str">
        <f>CLEAN("MILWAUKEE - MEQUON")</f>
        <v>MILWAUKEE - MEQUON</v>
      </c>
      <c r="F420" s="3" t="str">
        <f>CLEAN("0.1 MI S OF FAIRLANE TO TEUTONIA")</f>
        <v>0.1 MI S OF FAIRLANE TO TEUTONIA</v>
      </c>
      <c r="G420" s="3" t="str">
        <f>CLEAN("CONST/FULL PS/RSRF 25")</f>
        <v>CONST/FULL PS/RSRF 25</v>
      </c>
      <c r="H420" s="2" t="str">
        <f>CLEAN("STH 057")</f>
        <v>STH 057</v>
      </c>
      <c r="I420" s="2" t="str">
        <f>CLEAN("303")</f>
        <v>303</v>
      </c>
    </row>
    <row r="421" spans="1:9" x14ac:dyDescent="0.35">
      <c r="A421" s="2" t="str">
        <f t="shared" si="75"/>
        <v>MILWAUKEE</v>
      </c>
      <c r="B421" s="2" t="str">
        <f t="shared" si="73"/>
        <v>CITY OF GLENDALE</v>
      </c>
      <c r="C421" s="2" t="s">
        <v>2967</v>
      </c>
      <c r="D421" s="2" t="str">
        <f>CLEAN("2565-09-00")</f>
        <v>2565-09-00</v>
      </c>
      <c r="E421" s="3" t="str">
        <f>CLEAN("STH 57")</f>
        <v>STH 57</v>
      </c>
      <c r="F421" s="3" t="str">
        <f>CLEAN("RAMPS WITH SILVER SPRING DRIVE")</f>
        <v>RAMPS WITH SILVER SPRING DRIVE</v>
      </c>
      <c r="G421" s="3" t="str">
        <f>CLEAN("PE/SAFETY")</f>
        <v>PE/SAFETY</v>
      </c>
      <c r="H421" s="2" t="str">
        <f>CLEAN("OFF SYS")</f>
        <v>OFF SYS</v>
      </c>
      <c r="I421" s="2" t="str">
        <f>CLEAN("303")</f>
        <v>303</v>
      </c>
    </row>
    <row r="422" spans="1:9" x14ac:dyDescent="0.35">
      <c r="A422" s="2" t="str">
        <f t="shared" si="75"/>
        <v>MILWAUKEE</v>
      </c>
      <c r="B422" s="2" t="str">
        <f t="shared" si="73"/>
        <v>CITY OF GLENDALE</v>
      </c>
      <c r="C422" s="2" t="s">
        <v>1024</v>
      </c>
      <c r="D422" s="2" t="str">
        <f>CLEAN("2565-09-70")</f>
        <v>2565-09-70</v>
      </c>
      <c r="E422" s="3" t="str">
        <f>CLEAN("STH 57")</f>
        <v>STH 57</v>
      </c>
      <c r="F422" s="3" t="str">
        <f>CLEAN("RAMPS WITH SILVER SPRING DRIVE")</f>
        <v>RAMPS WITH SILVER SPRING DRIVE</v>
      </c>
      <c r="G422" s="3" t="str">
        <f>CLEAN("CONST/SAFETY")</f>
        <v>CONST/SAFETY</v>
      </c>
      <c r="H422" s="2" t="str">
        <f>CLEAN("OFF SYS")</f>
        <v>OFF SYS</v>
      </c>
      <c r="I422" s="2" t="str">
        <f>CLEAN("303")</f>
        <v>303</v>
      </c>
    </row>
    <row r="423" spans="1:9" x14ac:dyDescent="0.35">
      <c r="A423" s="2" t="str">
        <f t="shared" si="75"/>
        <v>MILWAUKEE</v>
      </c>
      <c r="B423" s="2" t="str">
        <f t="shared" si="73"/>
        <v>CITY OF GLENDALE</v>
      </c>
      <c r="C423" s="2" t="s">
        <v>2905</v>
      </c>
      <c r="D423" s="2" t="str">
        <f>CLEAN("2978-02-00")</f>
        <v>2978-02-00</v>
      </c>
      <c r="E423" s="3" t="str">
        <f>CLEAN("SILVER SPRING DR")</f>
        <v>SILVER SPRING DR</v>
      </c>
      <c r="F423" s="3" t="str">
        <f>CLEAN("N LONG ISLAND DR TO N LYDELL AVENUE")</f>
        <v>N LONG ISLAND DR TO N LYDELL AVENUE</v>
      </c>
      <c r="G423" s="3" t="str">
        <f>CLEAN("PE/PAVEMENT MARKING/TRAFFIC SIGNALS")</f>
        <v>PE/PAVEMENT MARKING/TRAFFIC SIGNALS</v>
      </c>
      <c r="H423" s="2" t="str">
        <f>CLEAN("LOC STR")</f>
        <v>LOC STR</v>
      </c>
      <c r="I423" s="2" t="str">
        <f>CLEAN("206")</f>
        <v>206</v>
      </c>
    </row>
    <row r="424" spans="1:9" x14ac:dyDescent="0.35">
      <c r="A424" s="2" t="str">
        <f t="shared" si="75"/>
        <v>MILWAUKEE</v>
      </c>
      <c r="B424" s="2" t="str">
        <f t="shared" si="73"/>
        <v>CITY OF GLENDALE</v>
      </c>
      <c r="C424" s="2" t="s">
        <v>1025</v>
      </c>
      <c r="D424" s="2" t="str">
        <f>CLEAN("2978-02-70")</f>
        <v>2978-02-70</v>
      </c>
      <c r="E424" s="3" t="str">
        <f>CLEAN("SILVER SPRING DR")</f>
        <v>SILVER SPRING DR</v>
      </c>
      <c r="F424" s="3" t="str">
        <f>CLEAN("N LONG ISLAND DR TO N LYDELL AVENUE")</f>
        <v>N LONG ISLAND DR TO N LYDELL AVENUE</v>
      </c>
      <c r="G424" s="3" t="str">
        <f>CLEAN("CONST/SAFETY/PVMT MARKING")</f>
        <v>CONST/SAFETY/PVMT MARKING</v>
      </c>
      <c r="H424" s="2" t="str">
        <f>CLEAN("LOC STR")</f>
        <v>LOC STR</v>
      </c>
      <c r="I424" s="2" t="str">
        <f>CLEAN("206")</f>
        <v>206</v>
      </c>
    </row>
    <row r="425" spans="1:9" x14ac:dyDescent="0.35">
      <c r="A425" s="2" t="str">
        <f>CLEAN("ST. CROIX")</f>
        <v>ST. CROIX</v>
      </c>
      <c r="B425" s="2" t="str">
        <f>CLEAN("CITY OF GLENWOOD CITY")</f>
        <v>CITY OF GLENWOOD CITY</v>
      </c>
      <c r="C425" s="2" t="s">
        <v>1358</v>
      </c>
      <c r="D425" s="2" t="str">
        <f>CLEAN("8650-00-74")</f>
        <v>8650-00-74</v>
      </c>
      <c r="E425" s="3" t="str">
        <f>CLEAN("ELMWOOD - STH 64")</f>
        <v>ELMWOOD - STH 64</v>
      </c>
      <c r="F425" s="3" t="str">
        <f>CLEAN("USH 12 TO STH 170")</f>
        <v>USH 12 TO STH 170</v>
      </c>
      <c r="G425" s="3" t="str">
        <f>CLEAN("CONSTRUCTION/RESURFACE")</f>
        <v>CONSTRUCTION/RESURFACE</v>
      </c>
      <c r="H425" s="2" t="str">
        <f>CLEAN("STH 128")</f>
        <v>STH 128</v>
      </c>
      <c r="I425" s="2" t="str">
        <f>CLEAN("303")</f>
        <v>303</v>
      </c>
    </row>
    <row r="426" spans="1:9" x14ac:dyDescent="0.35">
      <c r="A426" s="2" t="str">
        <f t="shared" ref="A426:A446" si="76">CLEAN("BROWN")</f>
        <v>BROWN</v>
      </c>
      <c r="B426" s="2" t="str">
        <f t="shared" ref="B426:B446" si="77">CLEAN("CITY OF GREEN BAY")</f>
        <v>CITY OF GREEN BAY</v>
      </c>
      <c r="C426" s="2" t="s">
        <v>2398</v>
      </c>
      <c r="D426" s="2" t="str">
        <f>CLEAN("1450-10-00")</f>
        <v>1450-10-00</v>
      </c>
      <c r="E426" s="3" t="str">
        <f>CLEAN("C GREEN BAY  MAIN STREET")</f>
        <v>C GREEN BAY  MAIN STREET</v>
      </c>
      <c r="F426" s="3" t="str">
        <f>CLEAN("IH 43 - BAIRD STREET")</f>
        <v>IH 43 - BAIRD STREET</v>
      </c>
      <c r="G426" s="3" t="str">
        <f>CLEAN("DSGN/FULL PSE/PSRS30")</f>
        <v>DSGN/FULL PSE/PSRS30</v>
      </c>
      <c r="H426" s="2" t="str">
        <f>CLEAN("USH 141")</f>
        <v>USH 141</v>
      </c>
      <c r="I426" s="2" t="str">
        <f>CLEAN("303")</f>
        <v>303</v>
      </c>
    </row>
    <row r="427" spans="1:9" x14ac:dyDescent="0.35">
      <c r="A427" s="2" t="str">
        <f t="shared" si="76"/>
        <v>BROWN</v>
      </c>
      <c r="B427" s="2" t="str">
        <f t="shared" si="77"/>
        <v>CITY OF GREEN BAY</v>
      </c>
      <c r="C427" s="2" t="s">
        <v>2427</v>
      </c>
      <c r="D427" s="2" t="str">
        <f>CLEAN("1450-11-00")</f>
        <v>1450-11-00</v>
      </c>
      <c r="E427" s="3" t="str">
        <f>CLEAN("C GREEN BAY  MAIN STREET")</f>
        <v>C GREEN BAY  MAIN STREET</v>
      </c>
      <c r="F427" s="3" t="str">
        <f>CLEAN("MANITOWOC ROAD - LIME KILN ROAD")</f>
        <v>MANITOWOC ROAD - LIME KILN ROAD</v>
      </c>
      <c r="G427" s="3" t="str">
        <f>CLEAN("DSGN/FULL PSE/RSRF20")</f>
        <v>DSGN/FULL PSE/RSRF20</v>
      </c>
      <c r="H427" s="2" t="str">
        <f>CLEAN("USH 141")</f>
        <v>USH 141</v>
      </c>
      <c r="I427" s="2" t="str">
        <f>CLEAN("303")</f>
        <v>303</v>
      </c>
    </row>
    <row r="428" spans="1:9" x14ac:dyDescent="0.35">
      <c r="A428" s="2" t="str">
        <f t="shared" si="76"/>
        <v>BROWN</v>
      </c>
      <c r="B428" s="2" t="str">
        <f t="shared" si="77"/>
        <v>CITY OF GREEN BAY</v>
      </c>
      <c r="C428" s="2" t="s">
        <v>640</v>
      </c>
      <c r="D428" s="2" t="str">
        <f>CLEAN("1450-23-70")</f>
        <v>1450-23-70</v>
      </c>
      <c r="E428" s="3" t="str">
        <f>CLEAN("C GREEN BAY  MAIN STREET")</f>
        <v>C GREEN BAY  MAIN STREET</v>
      </c>
      <c r="F428" s="3" t="str">
        <f>CLEAN("RAY NITSCHKE BRIDGE")</f>
        <v>RAY NITSCHKE BRIDGE</v>
      </c>
      <c r="G428" s="3" t="str">
        <f>CLEAN("CONST/MISC/B05-0311")</f>
        <v>CONST/MISC/B05-0311</v>
      </c>
      <c r="H428" s="2" t="str">
        <f>CLEAN("USH 141")</f>
        <v>USH 141</v>
      </c>
      <c r="I428" s="2" t="str">
        <f>CLEAN("205")</f>
        <v>205</v>
      </c>
    </row>
    <row r="429" spans="1:9" x14ac:dyDescent="0.35">
      <c r="A429" s="2" t="str">
        <f t="shared" si="76"/>
        <v>BROWN</v>
      </c>
      <c r="B429" s="2" t="str">
        <f t="shared" si="77"/>
        <v>CITY OF GREEN BAY</v>
      </c>
      <c r="C429" s="2" t="s">
        <v>2394</v>
      </c>
      <c r="D429" s="2" t="str">
        <f>CLEAN("1480-31-00")</f>
        <v>1480-31-00</v>
      </c>
      <c r="E429" s="3" t="str">
        <f>CLEAN("C GREEN BAY  UNIVERSITY AVENUE")</f>
        <v>C GREEN BAY  UNIVERSITY AVENUE</v>
      </c>
      <c r="F429" s="3" t="str">
        <f>CLEAN("MAIN STREET - UNIVERSITY WAY")</f>
        <v>MAIN STREET - UNIVERSITY WAY</v>
      </c>
      <c r="G429" s="3" t="str">
        <f>CLEAN("DSGN/FULL PSE/PSRS20")</f>
        <v>DSGN/FULL PSE/PSRS20</v>
      </c>
      <c r="H429" s="2" t="str">
        <f>CLEAN("STH 054")</f>
        <v>STH 054</v>
      </c>
      <c r="I429" s="2" t="str">
        <f>CLEAN("303")</f>
        <v>303</v>
      </c>
    </row>
    <row r="430" spans="1:9" x14ac:dyDescent="0.35">
      <c r="A430" s="2" t="str">
        <f t="shared" si="76"/>
        <v>BROWN</v>
      </c>
      <c r="B430" s="2" t="str">
        <f t="shared" si="77"/>
        <v>CITY OF GREEN BAY</v>
      </c>
      <c r="C430" s="2" t="s">
        <v>3385</v>
      </c>
      <c r="D430" s="2" t="str">
        <f>CLEAN("3700-30-63")</f>
        <v>3700-30-63</v>
      </c>
      <c r="E430" s="3" t="str">
        <f>CLEAN("C GREEN BAY  SIGNAL RETROFIT")</f>
        <v>C GREEN BAY  SIGNAL RETROFIT</v>
      </c>
      <c r="F430" s="3" t="str">
        <f>CLEAN("WIS 54 &amp; HINKLE ST-COUNTRY CLUB RD")</f>
        <v>WIS 54 &amp; HINKLE ST-COUNTRY CLUB RD</v>
      </c>
      <c r="G430" s="3" t="str">
        <f>CLEAN("TRF OPS/TOSIG")</f>
        <v>TRF OPS/TOSIG</v>
      </c>
      <c r="H430" s="2" t="str">
        <f>CLEAN("STH 054")</f>
        <v>STH 054</v>
      </c>
      <c r="I430" s="2" t="str">
        <f>CLEAN("305")</f>
        <v>305</v>
      </c>
    </row>
    <row r="431" spans="1:9" x14ac:dyDescent="0.35">
      <c r="A431" s="2" t="str">
        <f t="shared" si="76"/>
        <v>BROWN</v>
      </c>
      <c r="B431" s="2" t="str">
        <f t="shared" si="77"/>
        <v>CITY OF GREEN BAY</v>
      </c>
      <c r="C431" s="2" t="s">
        <v>3381</v>
      </c>
      <c r="D431" s="2" t="str">
        <f>CLEAN("3700-30-67")</f>
        <v>3700-30-67</v>
      </c>
      <c r="E431" s="3" t="str">
        <f>CLEAN("C GREEN BAY  SIGNAL RETROFIT")</f>
        <v>C GREEN BAY  SIGNAL RETROFIT</v>
      </c>
      <c r="F431" s="3" t="str">
        <f>CLEAN("CITY WIDE")</f>
        <v>CITY WIDE</v>
      </c>
      <c r="G431" s="3" t="str">
        <f>CLEAN("TRF OPS/TOSIG")</f>
        <v>TRF OPS/TOSIG</v>
      </c>
      <c r="H431" s="2" t="str">
        <f>CLEAN("VAR HWY")</f>
        <v>VAR HWY</v>
      </c>
      <c r="I431" s="2" t="str">
        <f>CLEAN("305")</f>
        <v>305</v>
      </c>
    </row>
    <row r="432" spans="1:9" x14ac:dyDescent="0.35">
      <c r="A432" s="2" t="str">
        <f t="shared" si="76"/>
        <v>BROWN</v>
      </c>
      <c r="B432" s="2" t="str">
        <f t="shared" si="77"/>
        <v>CITY OF GREEN BAY</v>
      </c>
      <c r="C432" s="2" t="s">
        <v>3380</v>
      </c>
      <c r="D432" s="2" t="str">
        <f>CLEAN("3700-30-68")</f>
        <v>3700-30-68</v>
      </c>
      <c r="E432" s="3" t="str">
        <f>CLEAN("C GREEN BAY  SIGNAL RETROFIT")</f>
        <v>C GREEN BAY  SIGNAL RETROFIT</v>
      </c>
      <c r="F432" s="3" t="str">
        <f>CLEAN("CITY WIDE")</f>
        <v>CITY WIDE</v>
      </c>
      <c r="G432" s="3" t="str">
        <f>CLEAN("TRF OPS/TOSIG")</f>
        <v>TRF OPS/TOSIG</v>
      </c>
      <c r="H432" s="2" t="str">
        <f>CLEAN("VAR HWY")</f>
        <v>VAR HWY</v>
      </c>
      <c r="I432" s="2" t="str">
        <f>CLEAN("305")</f>
        <v>305</v>
      </c>
    </row>
    <row r="433" spans="1:9" x14ac:dyDescent="0.35">
      <c r="A433" s="2" t="str">
        <f t="shared" si="76"/>
        <v>BROWN</v>
      </c>
      <c r="B433" s="2" t="str">
        <f t="shared" si="77"/>
        <v>CITY OF GREEN BAY</v>
      </c>
      <c r="C433" s="2" t="s">
        <v>2419</v>
      </c>
      <c r="D433" s="2" t="str">
        <f>CLEAN("4180-06-00")</f>
        <v>4180-06-00</v>
      </c>
      <c r="E433" s="3" t="str">
        <f>CLEAN("SHAWANO AVE  C GREEN BAY")</f>
        <v>SHAWANO AVE  C GREEN BAY</v>
      </c>
      <c r="F433" s="3" t="str">
        <f>CLEAN("HUDSON ST - N OAKLAND AVE")</f>
        <v>HUDSON ST - N OAKLAND AVE</v>
      </c>
      <c r="G433" s="3" t="str">
        <f>CLEAN("DSGN/FULL PSE/RSRF")</f>
        <v>DSGN/FULL PSE/RSRF</v>
      </c>
      <c r="H433" s="2" t="str">
        <f>CLEAN("STH 029")</f>
        <v>STH 029</v>
      </c>
      <c r="I433" s="2" t="str">
        <f t="shared" ref="I433:I438" si="78">CLEAN("303")</f>
        <v>303</v>
      </c>
    </row>
    <row r="434" spans="1:9" x14ac:dyDescent="0.35">
      <c r="A434" s="2" t="str">
        <f t="shared" si="76"/>
        <v>BROWN</v>
      </c>
      <c r="B434" s="2" t="str">
        <f t="shared" si="77"/>
        <v>CITY OF GREEN BAY</v>
      </c>
      <c r="C434" s="2" t="s">
        <v>2400</v>
      </c>
      <c r="D434" s="2" t="str">
        <f>CLEAN("4180-09-00")</f>
        <v>4180-09-00</v>
      </c>
      <c r="E434" s="3" t="str">
        <f>CLEAN("C GREEN BAY  SHAWANO AVE/WALNUT ST")</f>
        <v>C GREEN BAY  SHAWANO AVE/WALNUT ST</v>
      </c>
      <c r="F434" s="3" t="str">
        <f>CLEAN("TAYLOR STREET - MONROE AVENUE")</f>
        <v>TAYLOR STREET - MONROE AVENUE</v>
      </c>
      <c r="G434" s="3" t="str">
        <f>CLEAN("DSGN/FULL PSE/PSRS30")</f>
        <v>DSGN/FULL PSE/PSRS30</v>
      </c>
      <c r="H434" s="2" t="str">
        <f>CLEAN("STH 029")</f>
        <v>STH 029</v>
      </c>
      <c r="I434" s="2" t="str">
        <f t="shared" si="78"/>
        <v>303</v>
      </c>
    </row>
    <row r="435" spans="1:9" x14ac:dyDescent="0.35">
      <c r="A435" s="2" t="str">
        <f t="shared" si="76"/>
        <v>BROWN</v>
      </c>
      <c r="B435" s="2" t="str">
        <f t="shared" si="77"/>
        <v>CITY OF GREEN BAY</v>
      </c>
      <c r="C435" s="2" t="s">
        <v>2488</v>
      </c>
      <c r="D435" s="2" t="str">
        <f>CLEAN("4190-18-00")</f>
        <v>4190-18-00</v>
      </c>
      <c r="E435" s="3" t="str">
        <f>CLEAN("ASHLAND AVE  C GREEN BAY")</f>
        <v>ASHLAND AVE  C GREEN BAY</v>
      </c>
      <c r="F435" s="3" t="str">
        <f>CLEAN("CTH VK - 9TH ST")</f>
        <v>CTH VK - 9TH ST</v>
      </c>
      <c r="G435" s="3" t="str">
        <f>CLEAN("DSN/FULL PSE/RSRF")</f>
        <v>DSN/FULL PSE/RSRF</v>
      </c>
      <c r="H435" s="2" t="str">
        <f>CLEAN("STH 032")</f>
        <v>STH 032</v>
      </c>
      <c r="I435" s="2" t="str">
        <f t="shared" si="78"/>
        <v>303</v>
      </c>
    </row>
    <row r="436" spans="1:9" x14ac:dyDescent="0.35">
      <c r="A436" s="2" t="str">
        <f t="shared" si="76"/>
        <v>BROWN</v>
      </c>
      <c r="B436" s="2" t="str">
        <f t="shared" si="77"/>
        <v>CITY OF GREEN BAY</v>
      </c>
      <c r="C436" s="2" t="s">
        <v>2380</v>
      </c>
      <c r="D436" s="2" t="str">
        <f>CLEAN("4190-19-00")</f>
        <v>4190-19-00</v>
      </c>
      <c r="E436" s="3" t="str">
        <f>CLEAN("C GREEN BAY  ASHLAND AVE")</f>
        <v>C GREEN BAY  ASHLAND AVE</v>
      </c>
      <c r="F436" s="3" t="str">
        <f>CLEAN("9TH STREET INTERSECTION")</f>
        <v>9TH STREET INTERSECTION</v>
      </c>
      <c r="G436" s="3" t="str">
        <f>CLEAN("DSGN/FULL PSE/MISC")</f>
        <v>DSGN/FULL PSE/MISC</v>
      </c>
      <c r="H436" s="2" t="str">
        <f>CLEAN("STH 032")</f>
        <v>STH 032</v>
      </c>
      <c r="I436" s="2" t="str">
        <f t="shared" si="78"/>
        <v>303</v>
      </c>
    </row>
    <row r="437" spans="1:9" x14ac:dyDescent="0.35">
      <c r="A437" s="2" t="str">
        <f t="shared" si="76"/>
        <v>BROWN</v>
      </c>
      <c r="B437" s="2" t="str">
        <f t="shared" si="77"/>
        <v>CITY OF GREEN BAY</v>
      </c>
      <c r="C437" s="2" t="s">
        <v>2490</v>
      </c>
      <c r="D437" s="2" t="str">
        <f>CLEAN("4190-20-00")</f>
        <v>4190-20-00</v>
      </c>
      <c r="E437" s="3" t="str">
        <f>CLEAN("STH 32  ASHLAND AVE BRIDGE")</f>
        <v>STH 32  ASHLAND AVE BRIDGE</v>
      </c>
      <c r="F437" s="3" t="str">
        <f>CLEAN("9TH ST - STH 54")</f>
        <v>9TH ST - STH 54</v>
      </c>
      <c r="G437" s="3" t="str">
        <f>CLEAN("DSN/PLN STUDY/FULL PSE/B050018")</f>
        <v>DSN/PLN STUDY/FULL PSE/B050018</v>
      </c>
      <c r="H437" s="2" t="str">
        <f>CLEAN("STH 032")</f>
        <v>STH 032</v>
      </c>
      <c r="I437" s="2" t="str">
        <f t="shared" si="78"/>
        <v>303</v>
      </c>
    </row>
    <row r="438" spans="1:9" x14ac:dyDescent="0.35">
      <c r="A438" s="2" t="str">
        <f t="shared" si="76"/>
        <v>BROWN</v>
      </c>
      <c r="B438" s="2" t="str">
        <f t="shared" si="77"/>
        <v>CITY OF GREEN BAY</v>
      </c>
      <c r="C438" s="2" t="s">
        <v>2395</v>
      </c>
      <c r="D438" s="2" t="str">
        <f>CLEAN("4690-00-00")</f>
        <v>4690-00-00</v>
      </c>
      <c r="E438" s="3" t="str">
        <f>CLEAN("C GREEN BAY  WEST MASON STREET")</f>
        <v>C GREEN BAY  WEST MASON STREET</v>
      </c>
      <c r="F438" s="3" t="str">
        <f>CLEAN("PLEASANT LANE - ASHLAND AVENUE")</f>
        <v>PLEASANT LANE - ASHLAND AVENUE</v>
      </c>
      <c r="G438" s="3" t="str">
        <f>CLEAN("DSGN/FULL PSE/PSRS20")</f>
        <v>DSGN/FULL PSE/PSRS20</v>
      </c>
      <c r="H438" s="2" t="str">
        <f>CLEAN("STH 054")</f>
        <v>STH 054</v>
      </c>
      <c r="I438" s="2" t="str">
        <f t="shared" si="78"/>
        <v>303</v>
      </c>
    </row>
    <row r="439" spans="1:9" x14ac:dyDescent="0.35">
      <c r="A439" s="2" t="str">
        <f t="shared" si="76"/>
        <v>BROWN</v>
      </c>
      <c r="B439" s="2" t="str">
        <f t="shared" si="77"/>
        <v>CITY OF GREEN BAY</v>
      </c>
      <c r="C439" s="2" t="s">
        <v>281</v>
      </c>
      <c r="D439" s="2" t="str">
        <f>CLEAN("4987-02-75")</f>
        <v>4987-02-75</v>
      </c>
      <c r="E439" s="3" t="str">
        <f>CLEAN("C GREEN BAY  COUNTRY CLUB ROAD")</f>
        <v>C GREEN BAY  COUNTRY CLUB ROAD</v>
      </c>
      <c r="F439" s="3" t="str">
        <f>CLEAN("MASON ST FRONTAGE RD TO INDIAN HILL")</f>
        <v>MASON ST FRONTAGE RD TO INDIAN HILL</v>
      </c>
      <c r="G439" s="3" t="str">
        <f>CLEAN("CONST OPS/RECST")</f>
        <v>CONST OPS/RECST</v>
      </c>
      <c r="H439" s="2" t="str">
        <f>CLEAN("LOC STR")</f>
        <v>LOC STR</v>
      </c>
      <c r="I439" s="2" t="str">
        <f>CLEAN("206")</f>
        <v>206</v>
      </c>
    </row>
    <row r="440" spans="1:9" x14ac:dyDescent="0.35">
      <c r="A440" s="2" t="str">
        <f t="shared" si="76"/>
        <v>BROWN</v>
      </c>
      <c r="B440" s="2" t="str">
        <f t="shared" si="77"/>
        <v>CITY OF GREEN BAY</v>
      </c>
      <c r="C440" s="2" t="s">
        <v>159</v>
      </c>
      <c r="D440" s="2" t="str">
        <f>CLEAN("4987-02-78")</f>
        <v>4987-02-78</v>
      </c>
      <c r="E440" s="3" t="str">
        <f>CLEAN("C GREEN BAY  CHANTEL STREET")</f>
        <v>C GREEN BAY  CHANTEL STREET</v>
      </c>
      <c r="F440" s="3" t="str">
        <f>CLEAN("BEAVER DAM CREEK BRIDGE")</f>
        <v>BEAVER DAM CREEK BRIDGE</v>
      </c>
      <c r="G440" s="3" t="str">
        <f>CLEAN("CONST OPS/BRRPL/B-05-0474")</f>
        <v>CONST OPS/BRRPL/B-05-0474</v>
      </c>
      <c r="H440" s="2" t="str">
        <f>CLEAN("LOC STR")</f>
        <v>LOC STR</v>
      </c>
      <c r="I440" s="2" t="str">
        <f>CLEAN("205")</f>
        <v>205</v>
      </c>
    </row>
    <row r="441" spans="1:9" x14ac:dyDescent="0.35">
      <c r="A441" s="2" t="str">
        <f t="shared" si="76"/>
        <v>BROWN</v>
      </c>
      <c r="B441" s="2" t="str">
        <f t="shared" si="77"/>
        <v>CITY OF GREEN BAY</v>
      </c>
      <c r="C441" s="2" t="s">
        <v>2479</v>
      </c>
      <c r="D441" s="2" t="str">
        <f>CLEAN("4987-02-79")</f>
        <v>4987-02-79</v>
      </c>
      <c r="E441" s="3" t="str">
        <f>CLEAN("C GREEN BAY  MATHER STREET")</f>
        <v>C GREEN BAY  MATHER STREET</v>
      </c>
      <c r="F441" s="3" t="str">
        <f>CLEAN("LOCUST STREET TO GRAY STREET")</f>
        <v>LOCUST STREET TO GRAY STREET</v>
      </c>
      <c r="G441" s="3" t="str">
        <f>CLEAN("DSN/FULL PSE/RECST")</f>
        <v>DSN/FULL PSE/RECST</v>
      </c>
      <c r="H441" s="2" t="str">
        <f>CLEAN("LOC STR")</f>
        <v>LOC STR</v>
      </c>
      <c r="I441" s="2" t="str">
        <f>CLEAN("206")</f>
        <v>206</v>
      </c>
    </row>
    <row r="442" spans="1:9" x14ac:dyDescent="0.35">
      <c r="A442" s="2" t="str">
        <f t="shared" si="76"/>
        <v>BROWN</v>
      </c>
      <c r="B442" s="2" t="str">
        <f t="shared" si="77"/>
        <v>CITY OF GREEN BAY</v>
      </c>
      <c r="C442" s="2" t="s">
        <v>2353</v>
      </c>
      <c r="D442" s="2" t="str">
        <f>CLEAN("4987-12-00")</f>
        <v>4987-12-00</v>
      </c>
      <c r="E442" s="3" t="str">
        <f>CLEAN("C GREEN BAY  LARSEN ROAD")</f>
        <v>C GREEN BAY  LARSEN ROAD</v>
      </c>
      <c r="F442" s="3" t="str">
        <f>CLEAN("BEAVER DAM CREEK BRIDGE")</f>
        <v>BEAVER DAM CREEK BRIDGE</v>
      </c>
      <c r="G442" s="3" t="str">
        <f>CLEAN("DSGN/FULL PSE/BRRPL")</f>
        <v>DSGN/FULL PSE/BRRPL</v>
      </c>
      <c r="H442" s="2" t="str">
        <f>CLEAN("LOC STR")</f>
        <v>LOC STR</v>
      </c>
      <c r="I442" s="2" t="str">
        <f>CLEAN("205")</f>
        <v>205</v>
      </c>
    </row>
    <row r="443" spans="1:9" x14ac:dyDescent="0.35">
      <c r="A443" s="2" t="str">
        <f t="shared" si="76"/>
        <v>BROWN</v>
      </c>
      <c r="B443" s="2" t="str">
        <f t="shared" si="77"/>
        <v>CITY OF GREEN BAY</v>
      </c>
      <c r="C443" s="2" t="s">
        <v>144</v>
      </c>
      <c r="D443" s="2" t="str">
        <f>CLEAN("4987-12-71")</f>
        <v>4987-12-71</v>
      </c>
      <c r="E443" s="3" t="str">
        <f>CLEAN("C GREEN BAY  LARSEN ROAD")</f>
        <v>C GREEN BAY  LARSEN ROAD</v>
      </c>
      <c r="F443" s="3" t="str">
        <f>CLEAN("BEAVER DAM CREEK BRIDGE")</f>
        <v>BEAVER DAM CREEK BRIDGE</v>
      </c>
      <c r="G443" s="3" t="str">
        <f>CLEAN("CONST OPS/BRRPL")</f>
        <v>CONST OPS/BRRPL</v>
      </c>
      <c r="H443" s="2" t="str">
        <f>CLEAN("LOC STR")</f>
        <v>LOC STR</v>
      </c>
      <c r="I443" s="2" t="str">
        <f>CLEAN("205")</f>
        <v>205</v>
      </c>
    </row>
    <row r="444" spans="1:9" x14ac:dyDescent="0.35">
      <c r="A444" s="2" t="str">
        <f t="shared" si="76"/>
        <v>BROWN</v>
      </c>
      <c r="B444" s="2" t="str">
        <f t="shared" si="77"/>
        <v>CITY OF GREEN BAY</v>
      </c>
      <c r="C444" s="2" t="s">
        <v>2435</v>
      </c>
      <c r="D444" s="2" t="str">
        <f>CLEAN("4987-14-00")</f>
        <v>4987-14-00</v>
      </c>
      <c r="E444" s="3" t="str">
        <f>CLEAN("C GREEN BAY  MANITOWOC RD SIDEWALK")</f>
        <v>C GREEN BAY  MANITOWOC RD SIDEWALK</v>
      </c>
      <c r="F444" s="3" t="str">
        <f>CLEAN("STH 29 - HEMLOCK DR")</f>
        <v>STH 29 - HEMLOCK DR</v>
      </c>
      <c r="G444" s="3" t="str">
        <f>CLEAN("DSGN/MISC GREEN BAY SAFE WALKS")</f>
        <v>DSGN/MISC GREEN BAY SAFE WALKS</v>
      </c>
      <c r="H444" s="2" t="str">
        <f>CLEAN("NON HWY")</f>
        <v>NON HWY</v>
      </c>
      <c r="I444" s="2" t="str">
        <f>CLEAN("290")</f>
        <v>290</v>
      </c>
    </row>
    <row r="445" spans="1:9" x14ac:dyDescent="0.35">
      <c r="A445" s="2" t="str">
        <f t="shared" si="76"/>
        <v>BROWN</v>
      </c>
      <c r="B445" s="2" t="str">
        <f t="shared" si="77"/>
        <v>CITY OF GREEN BAY</v>
      </c>
      <c r="C445" s="2" t="s">
        <v>179</v>
      </c>
      <c r="D445" s="2" t="str">
        <f>CLEAN("4987-14-71")</f>
        <v>4987-14-71</v>
      </c>
      <c r="E445" s="3" t="str">
        <f>CLEAN("C GREEN BAY  MANITOWOC RD SIDEWALK")</f>
        <v>C GREEN BAY  MANITOWOC RD SIDEWALK</v>
      </c>
      <c r="F445" s="3" t="str">
        <f>CLEAN("STH 29 - HEMLOCK DR")</f>
        <v>STH 29 - HEMLOCK DR</v>
      </c>
      <c r="G445" s="3" t="str">
        <f>CLEAN("CONST OPS/MISC GREEN BAY SAFE WALKS")</f>
        <v>CONST OPS/MISC GREEN BAY SAFE WALKS</v>
      </c>
      <c r="H445" s="2" t="str">
        <f>CLEAN("NON HWY")</f>
        <v>NON HWY</v>
      </c>
      <c r="I445" s="2" t="str">
        <f>CLEAN("290")</f>
        <v>290</v>
      </c>
    </row>
    <row r="446" spans="1:9" x14ac:dyDescent="0.35">
      <c r="A446" s="2" t="str">
        <f t="shared" si="76"/>
        <v>BROWN</v>
      </c>
      <c r="B446" s="2" t="str">
        <f t="shared" si="77"/>
        <v>CITY OF GREEN BAY</v>
      </c>
      <c r="C446" s="2" t="s">
        <v>2384</v>
      </c>
      <c r="D446" s="2" t="str">
        <f>CLEAN("9210-24-00")</f>
        <v>9210-24-00</v>
      </c>
      <c r="E446" s="3" t="str">
        <f>CLEAN("HOBART - GREEN BAY")</f>
        <v>HOBART - GREEN BAY</v>
      </c>
      <c r="F446" s="3" t="str">
        <f>CLEAN("HILLCREST DR - HINKLE ST")</f>
        <v>HILLCREST DR - HINKLE ST</v>
      </c>
      <c r="G446" s="3" t="str">
        <f>CLEAN("DSGN/FULL PSE/MISC")</f>
        <v>DSGN/FULL PSE/MISC</v>
      </c>
      <c r="H446" s="2" t="str">
        <f>CLEAN("STH 054")</f>
        <v>STH 054</v>
      </c>
      <c r="I446" s="2" t="str">
        <f>CLEAN("303")</f>
        <v>303</v>
      </c>
    </row>
    <row r="447" spans="1:9" x14ac:dyDescent="0.35">
      <c r="A447" s="2" t="str">
        <f>CLEAN("GREEN LAKE")</f>
        <v>GREEN LAKE</v>
      </c>
      <c r="B447" s="2" t="str">
        <f>CLEAN("CITY OF GREEN LAKE")</f>
        <v>CITY OF GREEN LAKE</v>
      </c>
      <c r="C447" s="2" t="s">
        <v>1991</v>
      </c>
      <c r="D447" s="2" t="str">
        <f>CLEAN("6626-01-00")</f>
        <v>6626-01-00</v>
      </c>
      <c r="E447" s="3" t="str">
        <f>CLEAN("C GREEN LAKE  MILL STREET")</f>
        <v>C GREEN LAKE  MILL STREET</v>
      </c>
      <c r="F447" s="3" t="str">
        <f>CLEAN("PUCHYAN RIVER BRIDGE  B-24-0437")</f>
        <v>PUCHYAN RIVER BRIDGE  B-24-0437</v>
      </c>
      <c r="G447" s="3" t="str">
        <f>CLEAN("DESIGN/FULL PSE/REPLACEMENT")</f>
        <v>DESIGN/FULL PSE/REPLACEMENT</v>
      </c>
      <c r="H447" s="2" t="str">
        <f>CLEAN("LOC STR")</f>
        <v>LOC STR</v>
      </c>
      <c r="I447" s="2" t="str">
        <f>CLEAN("205")</f>
        <v>205</v>
      </c>
    </row>
    <row r="448" spans="1:9" x14ac:dyDescent="0.35">
      <c r="A448" s="2" t="str">
        <f>CLEAN("GREEN LAKE")</f>
        <v>GREEN LAKE</v>
      </c>
      <c r="B448" s="2" t="str">
        <f>CLEAN("CITY OF GREEN LAKE")</f>
        <v>CITY OF GREEN LAKE</v>
      </c>
      <c r="C448" s="2" t="s">
        <v>920</v>
      </c>
      <c r="D448" s="2" t="str">
        <f>CLEAN("6626-01-70")</f>
        <v>6626-01-70</v>
      </c>
      <c r="E448" s="3" t="str">
        <f>CLEAN("C GREEN LAKE  MILL STREET")</f>
        <v>C GREEN LAKE  MILL STREET</v>
      </c>
      <c r="F448" s="3" t="str">
        <f>CLEAN("PUCHYAN RIVER BRIDGE  B-24-0046")</f>
        <v>PUCHYAN RIVER BRIDGE  B-24-0046</v>
      </c>
      <c r="G448" s="3" t="str">
        <f>CLEAN("CONST/REPLACEMENT")</f>
        <v>CONST/REPLACEMENT</v>
      </c>
      <c r="H448" s="2" t="str">
        <f>CLEAN("LOC STR")</f>
        <v>LOC STR</v>
      </c>
      <c r="I448" s="2" t="str">
        <f>CLEAN("205")</f>
        <v>205</v>
      </c>
    </row>
    <row r="449" spans="1:9" x14ac:dyDescent="0.35">
      <c r="A449" s="2" t="str">
        <f t="shared" ref="A449:A465" si="79">CLEAN("MILWAUKEE")</f>
        <v>MILWAUKEE</v>
      </c>
      <c r="B449" s="2" t="str">
        <f t="shared" ref="B449:B465" si="80">CLEAN("CITY OF GREENFIELD")</f>
        <v>CITY OF GREENFIELD</v>
      </c>
      <c r="C449" s="2" t="s">
        <v>2685</v>
      </c>
      <c r="D449" s="2" t="str">
        <f>CLEAN("2395-07-01")</f>
        <v>2395-07-01</v>
      </c>
      <c r="E449" s="3" t="str">
        <f>CLEAN("C GREENFIELD  W HOWARD AVENUE")</f>
        <v>C GREENFIELD  W HOWARD AVENUE</v>
      </c>
      <c r="F449" s="3" t="str">
        <f>CLEAN("BRIDGE OVER MINER CREEK B-40-0532")</f>
        <v>BRIDGE OVER MINER CREEK B-40-0532</v>
      </c>
      <c r="G449" s="3" t="str">
        <f>CLEAN("PE/FULL PS&amp;E ROW/BRIDGE REPLACE")</f>
        <v>PE/FULL PS&amp;E ROW/BRIDGE REPLACE</v>
      </c>
      <c r="H449" s="2" t="str">
        <f>CLEAN("LOC STR")</f>
        <v>LOC STR</v>
      </c>
      <c r="I449" s="2" t="str">
        <f>CLEAN("205")</f>
        <v>205</v>
      </c>
    </row>
    <row r="450" spans="1:9" x14ac:dyDescent="0.35">
      <c r="A450" s="2" t="str">
        <f t="shared" si="79"/>
        <v>MILWAUKEE</v>
      </c>
      <c r="B450" s="2" t="str">
        <f t="shared" si="80"/>
        <v>CITY OF GREENFIELD</v>
      </c>
      <c r="C450" s="2" t="s">
        <v>3009</v>
      </c>
      <c r="D450" s="2" t="str">
        <f>CLEAN("2980-05-01")</f>
        <v>2980-05-01</v>
      </c>
      <c r="E450" s="3" t="str">
        <f>CLEAN("C GREENFIELD LIGHTING CONVERSION")</f>
        <v>C GREENFIELD LIGHTING CONVERSION</v>
      </c>
      <c r="F450" s="3" t="str">
        <f>CLEAN("W HOWARD AVE &amp; W COLD SPRING RD")</f>
        <v>W HOWARD AVE &amp; W COLD SPRING RD</v>
      </c>
      <c r="G450" s="3" t="str">
        <f>CLEAN("PE/STATE REVIEW ONLY")</f>
        <v>PE/STATE REVIEW ONLY</v>
      </c>
      <c r="H450" s="2" t="str">
        <f>CLEAN("LOC STR")</f>
        <v>LOC STR</v>
      </c>
      <c r="I450" s="2" t="str">
        <f>CLEAN("206")</f>
        <v>206</v>
      </c>
    </row>
    <row r="451" spans="1:9" x14ac:dyDescent="0.35">
      <c r="A451" s="2" t="str">
        <f t="shared" si="79"/>
        <v>MILWAUKEE</v>
      </c>
      <c r="B451" s="2" t="str">
        <f t="shared" si="80"/>
        <v>CITY OF GREENFIELD</v>
      </c>
      <c r="C451" s="2" t="s">
        <v>2915</v>
      </c>
      <c r="D451" s="2" t="str">
        <f>CLEAN("2980-06-01")</f>
        <v>2980-06-01</v>
      </c>
      <c r="E451" s="3" t="str">
        <f>CLEAN("POWERLINE TRAIL PHASE 1")</f>
        <v>POWERLINE TRAIL PHASE 1</v>
      </c>
      <c r="F451" s="3" t="str">
        <f>CLEAN("W COLD SPRING RD TO 60TH STREET")</f>
        <v>W COLD SPRING RD TO 60TH STREET</v>
      </c>
      <c r="G451" s="3" t="str">
        <f>CLEAN("PE/PED BIKE TRAIL")</f>
        <v>PE/PED BIKE TRAIL</v>
      </c>
      <c r="H451" s="2" t="str">
        <f>CLEAN("NON HWY")</f>
        <v>NON HWY</v>
      </c>
      <c r="I451" s="2" t="str">
        <f>CLEAN("211")</f>
        <v>211</v>
      </c>
    </row>
    <row r="452" spans="1:9" x14ac:dyDescent="0.35">
      <c r="A452" s="2" t="str">
        <f t="shared" si="79"/>
        <v>MILWAUKEE</v>
      </c>
      <c r="B452" s="2" t="str">
        <f t="shared" si="80"/>
        <v>CITY OF GREENFIELD</v>
      </c>
      <c r="C452" s="2" t="s">
        <v>3135</v>
      </c>
      <c r="D452" s="2" t="str">
        <f>CLEAN("1100-46-22")</f>
        <v>1100-46-22</v>
      </c>
      <c r="E452" s="3" t="str">
        <f>CLEAN("IH 41 AIRPORT FREEWAY")</f>
        <v>IH 41 AIRPORT FREEWAY</v>
      </c>
      <c r="F452" s="3" t="str">
        <f>CLEAN("STH 36 (LOOMIS RD) BRIDGE")</f>
        <v>STH 36 (LOOMIS RD) BRIDGE</v>
      </c>
      <c r="G452" s="3" t="str">
        <f>CLEAN("RE/BRIDGE REPLACEMENT  PRESERV")</f>
        <v>RE/BRIDGE REPLACEMENT  PRESERV</v>
      </c>
      <c r="H452" s="2" t="str">
        <f>CLEAN("IH  041")</f>
        <v>IH  041</v>
      </c>
      <c r="I452" s="2" t="str">
        <f>CLEAN("303")</f>
        <v>303</v>
      </c>
    </row>
    <row r="453" spans="1:9" x14ac:dyDescent="0.35">
      <c r="A453" s="2" t="str">
        <f t="shared" si="79"/>
        <v>MILWAUKEE</v>
      </c>
      <c r="B453" s="2" t="str">
        <f t="shared" si="80"/>
        <v>CITY OF GREENFIELD</v>
      </c>
      <c r="C453" s="2" t="s">
        <v>475</v>
      </c>
      <c r="D453" s="2" t="str">
        <f>CLEAN("1100-46-71")</f>
        <v>1100-46-71</v>
      </c>
      <c r="E453" s="3" t="str">
        <f>CLEAN("IH 41 AIRPORT FREEWAY")</f>
        <v>IH 41 AIRPORT FREEWAY</v>
      </c>
      <c r="F453" s="3" t="str">
        <f>CLEAN("STH 36 (LOOMIS RD) BRIDGE")</f>
        <v>STH 36 (LOOMIS RD) BRIDGE</v>
      </c>
      <c r="G453" s="3" t="str">
        <f>CLEAN("CONST/BRIDGE REPLACEMENT  PRESERV")</f>
        <v>CONST/BRIDGE REPLACEMENT  PRESERV</v>
      </c>
      <c r="H453" s="2" t="str">
        <f>CLEAN("IH  041")</f>
        <v>IH  041</v>
      </c>
      <c r="I453" s="2" t="str">
        <f>CLEAN("303")</f>
        <v>303</v>
      </c>
    </row>
    <row r="454" spans="1:9" x14ac:dyDescent="0.35">
      <c r="A454" s="2" t="str">
        <f t="shared" si="79"/>
        <v>MILWAUKEE</v>
      </c>
      <c r="B454" s="2" t="str">
        <f t="shared" si="80"/>
        <v>CITY OF GREENFIELD</v>
      </c>
      <c r="C454" s="2" t="s">
        <v>996</v>
      </c>
      <c r="D454" s="2" t="str">
        <f>CLEAN("2120-18-70")</f>
        <v>2120-18-70</v>
      </c>
      <c r="E454" s="3" t="str">
        <f>CLEAN("HALES CORNERS - MILWAUKEE")</f>
        <v>HALES CORNERS - MILWAUKEE</v>
      </c>
      <c r="F454" s="3" t="str">
        <f>CLEAN("USH 45 TO 45TH STREET")</f>
        <v>USH 45 TO 45TH STREET</v>
      </c>
      <c r="G454" s="3" t="str">
        <f>CLEAN("CONST/RESURFACE")</f>
        <v>CONST/RESURFACE</v>
      </c>
      <c r="H454" s="2" t="str">
        <f>CLEAN("STH 024")</f>
        <v>STH 024</v>
      </c>
      <c r="I454" s="2" t="str">
        <f>CLEAN("303")</f>
        <v>303</v>
      </c>
    </row>
    <row r="455" spans="1:9" x14ac:dyDescent="0.35">
      <c r="A455" s="2" t="str">
        <f t="shared" si="79"/>
        <v>MILWAUKEE</v>
      </c>
      <c r="B455" s="2" t="str">
        <f t="shared" si="80"/>
        <v>CITY OF GREENFIELD</v>
      </c>
      <c r="C455" s="2" t="s">
        <v>2760</v>
      </c>
      <c r="D455" s="2" t="str">
        <f>CLEAN("2155-15-00")</f>
        <v>2155-15-00</v>
      </c>
      <c r="E455" s="3" t="str">
        <f>CLEAN("C GREENFIELD  S 43RD ST")</f>
        <v>C GREENFIELD  S 43RD ST</v>
      </c>
      <c r="F455" s="3" t="str">
        <f>CLEAN("W COLD SPRING RD TO W HOWARD AVE")</f>
        <v>W COLD SPRING RD TO W HOWARD AVE</v>
      </c>
      <c r="G455" s="3" t="str">
        <f>CLEAN("PE/FULL PS&amp;E/PVRPLA")</f>
        <v>PE/FULL PS&amp;E/PVRPLA</v>
      </c>
      <c r="H455" s="2" t="str">
        <f>CLEAN("LOC STR")</f>
        <v>LOC STR</v>
      </c>
      <c r="I455" s="2" t="str">
        <f>CLEAN("206")</f>
        <v>206</v>
      </c>
    </row>
    <row r="456" spans="1:9" x14ac:dyDescent="0.35">
      <c r="A456" s="2" t="str">
        <f t="shared" si="79"/>
        <v>MILWAUKEE</v>
      </c>
      <c r="B456" s="2" t="str">
        <f t="shared" si="80"/>
        <v>CITY OF GREENFIELD</v>
      </c>
      <c r="C456" s="2" t="s">
        <v>730</v>
      </c>
      <c r="D456" s="2" t="str">
        <f>CLEAN("2155-15-70")</f>
        <v>2155-15-70</v>
      </c>
      <c r="E456" s="3" t="str">
        <f>CLEAN("C GREENFIELD  S 43RD ST")</f>
        <v>C GREENFIELD  S 43RD ST</v>
      </c>
      <c r="F456" s="3" t="str">
        <f>CLEAN("W COLD SPRING RD TO W HOWARD AVE")</f>
        <v>W COLD SPRING RD TO W HOWARD AVE</v>
      </c>
      <c r="G456" s="3" t="str">
        <f>CLEAN("CONST/PVRPLA")</f>
        <v>CONST/PVRPLA</v>
      </c>
      <c r="H456" s="2" t="str">
        <f>CLEAN("LOC STR")</f>
        <v>LOC STR</v>
      </c>
      <c r="I456" s="2" t="str">
        <f>CLEAN("206")</f>
        <v>206</v>
      </c>
    </row>
    <row r="457" spans="1:9" x14ac:dyDescent="0.35">
      <c r="A457" s="2" t="str">
        <f t="shared" si="79"/>
        <v>MILWAUKEE</v>
      </c>
      <c r="B457" s="2" t="str">
        <f t="shared" si="80"/>
        <v>CITY OF GREENFIELD</v>
      </c>
      <c r="C457" s="2" t="s">
        <v>1019</v>
      </c>
      <c r="D457" s="2" t="str">
        <f>CLEAN("2265-11-72")</f>
        <v>2265-11-72</v>
      </c>
      <c r="E457" s="3" t="str">
        <f>CLEAN("C GREENFIELD/MILWAUKEE  S 27TH ST")</f>
        <v>C GREENFIELD/MILWAUKEE  S 27TH ST</v>
      </c>
      <c r="F457" s="3" t="str">
        <f>CLEAN("W BOTTSFORD AVE TO W HOWARD AVE")</f>
        <v>W BOTTSFORD AVE TO W HOWARD AVE</v>
      </c>
      <c r="G457" s="3" t="str">
        <f>CLEAN("CONST/RSRF25")</f>
        <v>CONST/RSRF25</v>
      </c>
      <c r="H457" s="2" t="str">
        <f>CLEAN("STH 241")</f>
        <v>STH 241</v>
      </c>
      <c r="I457" s="2" t="str">
        <f>CLEAN("303")</f>
        <v>303</v>
      </c>
    </row>
    <row r="458" spans="1:9" x14ac:dyDescent="0.35">
      <c r="A458" s="2" t="str">
        <f t="shared" si="79"/>
        <v>MILWAUKEE</v>
      </c>
      <c r="B458" s="2" t="str">
        <f t="shared" si="80"/>
        <v>CITY OF GREENFIELD</v>
      </c>
      <c r="C458" s="2" t="s">
        <v>956</v>
      </c>
      <c r="D458" s="2" t="str">
        <f>CLEAN("2265-18-70")</f>
        <v>2265-18-70</v>
      </c>
      <c r="E458" s="3" t="str">
        <f>CLEAN("OAK CREEK - MILWAUKEE")</f>
        <v>OAK CREEK - MILWAUKEE</v>
      </c>
      <c r="F458" s="3" t="str">
        <f>CLEAN("COLLEGE AVE TO LAYTON AVE")</f>
        <v>COLLEGE AVE TO LAYTON AVE</v>
      </c>
      <c r="G458" s="3" t="str">
        <f>CLEAN("CONST/RESURFACE")</f>
        <v>CONST/RESURFACE</v>
      </c>
      <c r="H458" s="2" t="str">
        <f>CLEAN("STH 241")</f>
        <v>STH 241</v>
      </c>
      <c r="I458" s="2" t="str">
        <f>CLEAN("303")</f>
        <v>303</v>
      </c>
    </row>
    <row r="459" spans="1:9" x14ac:dyDescent="0.35">
      <c r="A459" s="2" t="str">
        <f t="shared" si="79"/>
        <v>MILWAUKEE</v>
      </c>
      <c r="B459" s="2" t="str">
        <f t="shared" si="80"/>
        <v>CITY OF GREENFIELD</v>
      </c>
      <c r="C459" s="2" t="s">
        <v>425</v>
      </c>
      <c r="D459" s="2" t="str">
        <f>CLEAN("2395-07-71")</f>
        <v>2395-07-71</v>
      </c>
      <c r="E459" s="3" t="str">
        <f>CLEAN("C GREENFIELD - W HOWARD AVENUE")</f>
        <v>C GREENFIELD - W HOWARD AVENUE</v>
      </c>
      <c r="F459" s="3" t="str">
        <f>CLEAN("BRIDGE OVER MINER CREEK B-40-0532")</f>
        <v>BRIDGE OVER MINER CREEK B-40-0532</v>
      </c>
      <c r="G459" s="3" t="str">
        <f>CLEAN("CONST/BRIDGE REPLACEMENT")</f>
        <v>CONST/BRIDGE REPLACEMENT</v>
      </c>
      <c r="H459" s="2" t="str">
        <f>CLEAN("LOC STR")</f>
        <v>LOC STR</v>
      </c>
      <c r="I459" s="2" t="str">
        <f>CLEAN("205")</f>
        <v>205</v>
      </c>
    </row>
    <row r="460" spans="1:9" x14ac:dyDescent="0.35">
      <c r="A460" s="2" t="str">
        <f t="shared" si="79"/>
        <v>MILWAUKEE</v>
      </c>
      <c r="B460" s="2" t="str">
        <f t="shared" si="80"/>
        <v>CITY OF GREENFIELD</v>
      </c>
      <c r="C460" s="2" t="s">
        <v>2974</v>
      </c>
      <c r="D460" s="2" t="str">
        <f>CLEAN("2980-05-00")</f>
        <v>2980-05-00</v>
      </c>
      <c r="E460" s="3" t="str">
        <f>CLEAN("C GREENFIELD  LIGHTING CONVERSION")</f>
        <v>C GREENFIELD  LIGHTING CONVERSION</v>
      </c>
      <c r="F460" s="3" t="str">
        <f>CLEAN("3 CITY STREETS")</f>
        <v>3 CITY STREETS</v>
      </c>
      <c r="G460" s="3" t="str">
        <f>CLEAN("PE/STATE REVIEW ONLY")</f>
        <v>PE/STATE REVIEW ONLY</v>
      </c>
      <c r="H460" s="2" t="str">
        <f>CLEAN("VAR HWY")</f>
        <v>VAR HWY</v>
      </c>
      <c r="I460" s="2" t="str">
        <f>CLEAN("206")</f>
        <v>206</v>
      </c>
    </row>
    <row r="461" spans="1:9" x14ac:dyDescent="0.35">
      <c r="A461" s="2" t="str">
        <f t="shared" si="79"/>
        <v>MILWAUKEE</v>
      </c>
      <c r="B461" s="2" t="str">
        <f t="shared" si="80"/>
        <v>CITY OF GREENFIELD</v>
      </c>
      <c r="C461" s="2" t="s">
        <v>1056</v>
      </c>
      <c r="D461" s="2" t="str">
        <f>CLEAN("2980-05-70")</f>
        <v>2980-05-70</v>
      </c>
      <c r="E461" s="3" t="str">
        <f>CLEAN("C GREENFIELD  LIGHTING CONVERSION")</f>
        <v>C GREENFIELD  LIGHTING CONVERSION</v>
      </c>
      <c r="F461" s="3" t="str">
        <f>CLEAN("3 CITY STREETS")</f>
        <v>3 CITY STREETS</v>
      </c>
      <c r="G461" s="3" t="str">
        <f>CLEAN("CONST/STREET LIGHTING")</f>
        <v>CONST/STREET LIGHTING</v>
      </c>
      <c r="H461" s="2" t="str">
        <f>CLEAN("VAR HWY")</f>
        <v>VAR HWY</v>
      </c>
      <c r="I461" s="2" t="str">
        <f>CLEAN("206")</f>
        <v>206</v>
      </c>
    </row>
    <row r="462" spans="1:9" x14ac:dyDescent="0.35">
      <c r="A462" s="2" t="str">
        <f t="shared" si="79"/>
        <v>MILWAUKEE</v>
      </c>
      <c r="B462" s="2" t="str">
        <f t="shared" si="80"/>
        <v>CITY OF GREENFIELD</v>
      </c>
      <c r="C462" s="2" t="s">
        <v>2783</v>
      </c>
      <c r="D462" s="2" t="str">
        <f>CLEAN("2980-08-00")</f>
        <v>2980-08-00</v>
      </c>
      <c r="E462" s="3" t="str">
        <f>CLEAN("POWERLINE TRAIL PHASE 3")</f>
        <v>POWERLINE TRAIL PHASE 3</v>
      </c>
      <c r="F462" s="3" t="str">
        <f>CLEAN("W EDGERTON AVE TO OLT &amp; S MEADOW DR")</f>
        <v>W EDGERTON AVE TO OLT &amp; S MEADOW DR</v>
      </c>
      <c r="G462" s="3" t="str">
        <f>CLEAN("PE/FULL PS/BIKE PED TRAIL")</f>
        <v>PE/FULL PS/BIKE PED TRAIL</v>
      </c>
      <c r="H462" s="2" t="str">
        <f>CLEAN("NON HWY")</f>
        <v>NON HWY</v>
      </c>
      <c r="I462" s="2" t="str">
        <f>CLEAN("211")</f>
        <v>211</v>
      </c>
    </row>
    <row r="463" spans="1:9" x14ac:dyDescent="0.35">
      <c r="A463" s="2" t="str">
        <f t="shared" si="79"/>
        <v>MILWAUKEE</v>
      </c>
      <c r="B463" s="2" t="str">
        <f t="shared" si="80"/>
        <v>CITY OF GREENFIELD</v>
      </c>
      <c r="C463" s="2" t="s">
        <v>683</v>
      </c>
      <c r="D463" s="2" t="str">
        <f>CLEAN("2980-08-70")</f>
        <v>2980-08-70</v>
      </c>
      <c r="E463" s="3" t="str">
        <f>CLEAN("POWERLINE TRAIL PHASE 3")</f>
        <v>POWERLINE TRAIL PHASE 3</v>
      </c>
      <c r="F463" s="3" t="str">
        <f>CLEAN("W EDGERTON AVE TO OLT &amp; S MEADOW DR")</f>
        <v>W EDGERTON AVE TO OLT &amp; S MEADOW DR</v>
      </c>
      <c r="G463" s="3" t="str">
        <f>CLEAN("CONST/PED BIKE TRAIL")</f>
        <v>CONST/PED BIKE TRAIL</v>
      </c>
      <c r="H463" s="2" t="str">
        <f>CLEAN("NON HWY")</f>
        <v>NON HWY</v>
      </c>
      <c r="I463" s="2" t="str">
        <f>CLEAN("211")</f>
        <v>211</v>
      </c>
    </row>
    <row r="464" spans="1:9" x14ac:dyDescent="0.35">
      <c r="A464" s="2" t="str">
        <f t="shared" si="79"/>
        <v>MILWAUKEE</v>
      </c>
      <c r="B464" s="2" t="str">
        <f t="shared" si="80"/>
        <v>CITY OF GREENFIELD</v>
      </c>
      <c r="C464" s="2" t="s">
        <v>2871</v>
      </c>
      <c r="D464" s="2" t="str">
        <f>CLEAN("2980-22-00")</f>
        <v>2980-22-00</v>
      </c>
      <c r="E464" s="3" t="str">
        <f>CLEAN("POWERLINE TRAIL PHASE 2")</f>
        <v>POWERLINE TRAIL PHASE 2</v>
      </c>
      <c r="F464" s="3" t="str">
        <f>CLEAN("60TH-PONDVIEW PARK &amp; 40TH-HOWARD")</f>
        <v>60TH-PONDVIEW PARK &amp; 40TH-HOWARD</v>
      </c>
      <c r="G464" s="3" t="str">
        <f>CLEAN("PE/FULL PSE/PED BIKE TRAIL")</f>
        <v>PE/FULL PSE/PED BIKE TRAIL</v>
      </c>
      <c r="H464" s="2" t="str">
        <f>CLEAN("NON HWY")</f>
        <v>NON HWY</v>
      </c>
      <c r="I464" s="2" t="str">
        <f>CLEAN("211")</f>
        <v>211</v>
      </c>
    </row>
    <row r="465" spans="1:9" x14ac:dyDescent="0.35">
      <c r="A465" s="2" t="str">
        <f t="shared" si="79"/>
        <v>MILWAUKEE</v>
      </c>
      <c r="B465" s="2" t="str">
        <f t="shared" si="80"/>
        <v>CITY OF GREENFIELD</v>
      </c>
      <c r="C465" s="2" t="s">
        <v>682</v>
      </c>
      <c r="D465" s="2" t="str">
        <f>CLEAN("2980-22-70")</f>
        <v>2980-22-70</v>
      </c>
      <c r="E465" s="3" t="str">
        <f>CLEAN("POWERLINE TRAIL PHASE 2")</f>
        <v>POWERLINE TRAIL PHASE 2</v>
      </c>
      <c r="F465" s="3" t="str">
        <f>CLEAN("60TH-PONDVIEW PARK &amp; 40TH-HOWARD")</f>
        <v>60TH-PONDVIEW PARK &amp; 40TH-HOWARD</v>
      </c>
      <c r="G465" s="3" t="str">
        <f>CLEAN("CONST/PED BIKE TRAIL")</f>
        <v>CONST/PED BIKE TRAIL</v>
      </c>
      <c r="H465" s="2" t="str">
        <f>CLEAN("NON HWY")</f>
        <v>NON HWY</v>
      </c>
      <c r="I465" s="2" t="str">
        <f>CLEAN("211")</f>
        <v>211</v>
      </c>
    </row>
    <row r="466" spans="1:9" x14ac:dyDescent="0.35">
      <c r="A466" s="2" t="str">
        <f>CLEAN("CLARK")</f>
        <v>CLARK</v>
      </c>
      <c r="B466" s="2" t="str">
        <f>CLEAN("CITY OF GREENWOOD")</f>
        <v>CITY OF GREENWOOD</v>
      </c>
      <c r="C466" s="2" t="s">
        <v>1366</v>
      </c>
      <c r="D466" s="2" t="str">
        <f>CLEAN("7050-00-73")</f>
        <v>7050-00-73</v>
      </c>
      <c r="E466" s="3" t="str">
        <f>CLEAN("NEILLSVILLE - THORP")</f>
        <v>NEILLSVILLE - THORP</v>
      </c>
      <c r="F466" s="3" t="str">
        <f>CLEAN("ROCK CREEK BRIDGE TO HUNT STREET")</f>
        <v>ROCK CREEK BRIDGE TO HUNT STREET</v>
      </c>
      <c r="G466" s="3" t="str">
        <f>CLEAN("CONSTRUCTION/RESURFACING")</f>
        <v>CONSTRUCTION/RESURFACING</v>
      </c>
      <c r="H466" s="2" t="str">
        <f>CLEAN("STH 073")</f>
        <v>STH 073</v>
      </c>
      <c r="I466" s="2" t="str">
        <f>CLEAN("303")</f>
        <v>303</v>
      </c>
    </row>
    <row r="467" spans="1:9" x14ac:dyDescent="0.35">
      <c r="A467" s="2" t="str">
        <f>CLEAN("WASHINGTON")</f>
        <v>WASHINGTON</v>
      </c>
      <c r="B467" s="2" t="str">
        <f>CLEAN("CITY OF HARTFORD")</f>
        <v>CITY OF HARTFORD</v>
      </c>
      <c r="C467" s="2" t="s">
        <v>3006</v>
      </c>
      <c r="D467" s="2" t="str">
        <f>CLEAN("2705-04-01")</f>
        <v>2705-04-01</v>
      </c>
      <c r="E467" s="3" t="str">
        <f>CLEAN("C HARTFORD  LIGHTING CONVERSION")</f>
        <v>C HARTFORD  LIGHTING CONVERSION</v>
      </c>
      <c r="F467" s="3" t="str">
        <f>CLEAN("VARIOUS LOCATIONS WITHIN THE CITY")</f>
        <v>VARIOUS LOCATIONS WITHIN THE CITY</v>
      </c>
      <c r="G467" s="3" t="str">
        <f>CLEAN("PE/STATE REVIEW ONLY")</f>
        <v>PE/STATE REVIEW ONLY</v>
      </c>
      <c r="H467" s="2" t="str">
        <f>CLEAN("VAR HWY")</f>
        <v>VAR HWY</v>
      </c>
      <c r="I467" s="2" t="str">
        <f>CLEAN("206")</f>
        <v>206</v>
      </c>
    </row>
    <row r="468" spans="1:9" x14ac:dyDescent="0.35">
      <c r="A468" s="2" t="str">
        <f>CLEAN("WASHINGTON")</f>
        <v>WASHINGTON</v>
      </c>
      <c r="B468" s="2" t="str">
        <f>CLEAN("CITY OF HARTFORD")</f>
        <v>CITY OF HARTFORD</v>
      </c>
      <c r="C468" s="2" t="s">
        <v>3091</v>
      </c>
      <c r="D468" s="2" t="str">
        <f>CLEAN("2705-04-81")</f>
        <v>2705-04-81</v>
      </c>
      <c r="E468" s="3" t="str">
        <f>CLEAN("C HARTFORD  LIGHTING CONVERSION")</f>
        <v>C HARTFORD  LIGHTING CONVERSION</v>
      </c>
      <c r="F468" s="3" t="str">
        <f>CLEAN("VARIOUS LOCATIONS WITHIN THE CITY")</f>
        <v>VARIOUS LOCATIONS WITHIN THE CITY</v>
      </c>
      <c r="G468" s="3" t="str">
        <f>CLEAN("PROCUREMENT/STREET LIGHTING")</f>
        <v>PROCUREMENT/STREET LIGHTING</v>
      </c>
      <c r="H468" s="2" t="str">
        <f>CLEAN("VAR HWY")</f>
        <v>VAR HWY</v>
      </c>
      <c r="I468" s="2" t="str">
        <f>CLEAN("206")</f>
        <v>206</v>
      </c>
    </row>
    <row r="469" spans="1:9" x14ac:dyDescent="0.35">
      <c r="A469" s="2" t="str">
        <f>CLEAN("WASHINGTON")</f>
        <v>WASHINGTON</v>
      </c>
      <c r="B469" s="2" t="str">
        <f>CLEAN("CITY OF HARTFORD")</f>
        <v>CITY OF HARTFORD</v>
      </c>
      <c r="C469" s="2" t="s">
        <v>2813</v>
      </c>
      <c r="D469" s="2" t="str">
        <f>CLEAN("2705-06-00")</f>
        <v>2705-06-00</v>
      </c>
      <c r="E469" s="3" t="str">
        <f>CLEAN("C HARTFORD  INDEPENDENCE AVE")</f>
        <v>C HARTFORD  INDEPENDENCE AVE</v>
      </c>
      <c r="F469" s="3" t="str">
        <f>CLEAN("STH 60 TO W STATE ST")</f>
        <v>STH 60 TO W STATE ST</v>
      </c>
      <c r="G469" s="3" t="str">
        <f>CLEAN("PE/FULL PS/PVRPLA")</f>
        <v>PE/FULL PS/PVRPLA</v>
      </c>
      <c r="H469" s="2" t="str">
        <f>CLEAN("LOC STR")</f>
        <v>LOC STR</v>
      </c>
      <c r="I469" s="2" t="str">
        <f>CLEAN("206")</f>
        <v>206</v>
      </c>
    </row>
    <row r="470" spans="1:9" x14ac:dyDescent="0.35">
      <c r="A470" s="2" t="str">
        <f>CLEAN("DODGE")</f>
        <v>DODGE</v>
      </c>
      <c r="B470" s="2" t="str">
        <f>CLEAN("CITY OF HORICON")</f>
        <v>CITY OF HORICON</v>
      </c>
      <c r="C470" s="2" t="s">
        <v>3078</v>
      </c>
      <c r="D470" s="2" t="str">
        <f>CLEAN("3813-00-01")</f>
        <v>3813-00-01</v>
      </c>
      <c r="E470" s="3" t="str">
        <f>CLEAN("C HORICON  FEASIBILITY STUDY")</f>
        <v>C HORICON  FEASIBILITY STUDY</v>
      </c>
      <c r="F470" s="3" t="str">
        <f>CLEAN("ROCK RIVER PEDESTRIAN CROSSING")</f>
        <v>ROCK RIVER PEDESTRIAN CROSSING</v>
      </c>
      <c r="G470" s="3" t="str">
        <f>CLEAN("PLANNING STUDY")</f>
        <v>PLANNING STUDY</v>
      </c>
      <c r="H470" s="2" t="str">
        <f>CLEAN("NON HWY")</f>
        <v>NON HWY</v>
      </c>
      <c r="I470" s="2" t="str">
        <f>CLEAN("290")</f>
        <v>290</v>
      </c>
    </row>
    <row r="471" spans="1:9" x14ac:dyDescent="0.35">
      <c r="A471" s="2" t="str">
        <f>CLEAN("DODGE")</f>
        <v>DODGE</v>
      </c>
      <c r="B471" s="2" t="str">
        <f>CLEAN("CITY OF HORICON")</f>
        <v>CITY OF HORICON</v>
      </c>
      <c r="C471" s="2" t="s">
        <v>3128</v>
      </c>
      <c r="D471" s="2" t="str">
        <f>CLEAN("3888-00-75")</f>
        <v>3888-00-75</v>
      </c>
      <c r="E471" s="3" t="str">
        <f>CLEAN("C HORICON  JOHN DEERE HORICON WORKS")</f>
        <v>C HORICON  JOHN DEERE HORICON WORKS</v>
      </c>
      <c r="F471" s="3" t="str">
        <f>CLEAN("RDWAY IMPROVEMENTS  WEST LAKE ST")</f>
        <v>RDWAY IMPROVEMENTS  WEST LAKE ST</v>
      </c>
      <c r="G471" s="3" t="str">
        <f>CLEAN("RDWAY RECONS/LLC/TEA")</f>
        <v>RDWAY RECONS/LLC/TEA</v>
      </c>
      <c r="H471" s="2" t="str">
        <f>CLEAN("LOC STR")</f>
        <v>LOC STR</v>
      </c>
      <c r="I471" s="2" t="str">
        <f>CLEAN("209")</f>
        <v>209</v>
      </c>
    </row>
    <row r="472" spans="1:9" x14ac:dyDescent="0.35">
      <c r="A472" s="2" t="str">
        <f t="shared" ref="A472:A479" si="81">CLEAN("ST. CROIX")</f>
        <v>ST. CROIX</v>
      </c>
      <c r="B472" s="2" t="str">
        <f t="shared" ref="B472:B479" si="82">CLEAN("CITY OF HUDSON")</f>
        <v>CITY OF HUDSON</v>
      </c>
      <c r="C472" s="2" t="s">
        <v>1552</v>
      </c>
      <c r="D472" s="2" t="str">
        <f>CLEAN("1020-02-15")</f>
        <v>1020-02-15</v>
      </c>
      <c r="E472" s="3" t="str">
        <f>CLEAN("C HUDSON  CARMICHAEL ROAD")</f>
        <v>C HUDSON  CARMICHAEL ROAD</v>
      </c>
      <c r="F472" s="3" t="str">
        <f>CLEAN("CENTER DR &amp; HANLEY RD INTERSECTIONS")</f>
        <v>CENTER DR &amp; HANLEY RD INTERSECTIONS</v>
      </c>
      <c r="G472" s="3" t="str">
        <f>CLEAN("DESIGN - FULL PS&amp;E SAFETY")</f>
        <v>DESIGN - FULL PS&amp;E SAFETY</v>
      </c>
      <c r="H472" s="2" t="str">
        <f>CLEAN("LOC STR")</f>
        <v>LOC STR</v>
      </c>
      <c r="I472" s="2" t="str">
        <f>CLEAN("206")</f>
        <v>206</v>
      </c>
    </row>
    <row r="473" spans="1:9" x14ac:dyDescent="0.35">
      <c r="A473" s="2" t="str">
        <f t="shared" si="81"/>
        <v>ST. CROIX</v>
      </c>
      <c r="B473" s="2" t="str">
        <f t="shared" si="82"/>
        <v>CITY OF HUDSON</v>
      </c>
      <c r="C473" s="2" t="s">
        <v>1348</v>
      </c>
      <c r="D473" s="2" t="str">
        <f>CLEAN("7200-00-70")</f>
        <v>7200-00-70</v>
      </c>
      <c r="E473" s="3" t="str">
        <f>CLEAN("RIVER FALLS - HUDSON")</f>
        <v>RIVER FALLS - HUDSON</v>
      </c>
      <c r="F473" s="3" t="str">
        <f>CLEAN("HANLEY ROAD INTERCHANGE")</f>
        <v>HANLEY ROAD INTERCHANGE</v>
      </c>
      <c r="G473" s="3" t="str">
        <f>CLEAN("CONSTRUCTION/RESURFACE")</f>
        <v>CONSTRUCTION/RESURFACE</v>
      </c>
      <c r="H473" s="2" t="str">
        <f>CLEAN("STH 035")</f>
        <v>STH 035</v>
      </c>
      <c r="I473" s="2" t="str">
        <f>CLEAN("303")</f>
        <v>303</v>
      </c>
    </row>
    <row r="474" spans="1:9" x14ac:dyDescent="0.35">
      <c r="A474" s="2" t="str">
        <f t="shared" si="81"/>
        <v>ST. CROIX</v>
      </c>
      <c r="B474" s="2" t="str">
        <f t="shared" si="82"/>
        <v>CITY OF HUDSON</v>
      </c>
      <c r="C474" s="2" t="s">
        <v>1138</v>
      </c>
      <c r="D474" s="2" t="str">
        <f>CLEAN("8080-02-60")</f>
        <v>8080-02-60</v>
      </c>
      <c r="E474" s="3" t="str">
        <f>CLEAN("CITY OF HUDSON  SECOND STREET")</f>
        <v>CITY OF HUDSON  SECOND STREET</v>
      </c>
      <c r="F474" s="3" t="str">
        <f>CLEAN("FRONT STREET TO VINE STREET")</f>
        <v>FRONT STREET TO VINE STREET</v>
      </c>
      <c r="G474" s="3" t="str">
        <f>CLEAN("CONSTR/RESURF/PCC REPAIR &amp; OVERLAY")</f>
        <v>CONSTR/RESURF/PCC REPAIR &amp; OVERLAY</v>
      </c>
      <c r="H474" s="2" t="str">
        <f>CLEAN("STH 035")</f>
        <v>STH 035</v>
      </c>
      <c r="I474" s="2" t="str">
        <f>CLEAN("303")</f>
        <v>303</v>
      </c>
    </row>
    <row r="475" spans="1:9" x14ac:dyDescent="0.35">
      <c r="A475" s="2" t="str">
        <f t="shared" si="81"/>
        <v>ST. CROIX</v>
      </c>
      <c r="B475" s="2" t="str">
        <f t="shared" si="82"/>
        <v>CITY OF HUDSON</v>
      </c>
      <c r="C475" s="2" t="s">
        <v>1378</v>
      </c>
      <c r="D475" s="2" t="str">
        <f>CLEAN("8080-02-61")</f>
        <v>8080-02-61</v>
      </c>
      <c r="E475" s="3" t="str">
        <f>CLEAN("C HUDSON  SECOND STREET")</f>
        <v>C HUDSON  SECOND STREET</v>
      </c>
      <c r="F475" s="3" t="str">
        <f>CLEAN("FRONT STREET TO VINE STREET")</f>
        <v>FRONT STREET TO VINE STREET</v>
      </c>
      <c r="G475" s="3" t="str">
        <f>CLEAN("CONSTRUCTION/SANITARY SEWER")</f>
        <v>CONSTRUCTION/SANITARY SEWER</v>
      </c>
      <c r="H475" s="2" t="str">
        <f>CLEAN("STH 035")</f>
        <v>STH 035</v>
      </c>
      <c r="I475" s="2" t="str">
        <f>CLEAN("303")</f>
        <v>303</v>
      </c>
    </row>
    <row r="476" spans="1:9" x14ac:dyDescent="0.35">
      <c r="A476" s="2" t="str">
        <f t="shared" si="81"/>
        <v>ST. CROIX</v>
      </c>
      <c r="B476" s="2" t="str">
        <f t="shared" si="82"/>
        <v>CITY OF HUDSON</v>
      </c>
      <c r="C476" s="2" t="s">
        <v>1333</v>
      </c>
      <c r="D476" s="2" t="str">
        <f>CLEAN("8080-07-70")</f>
        <v>8080-07-70</v>
      </c>
      <c r="E476" s="3" t="str">
        <f>CLEAN("CITY OF HUDSON  SECOND STREET")</f>
        <v>CITY OF HUDSON  SECOND STREET</v>
      </c>
      <c r="F476" s="3" t="str">
        <f>CLEAN("VINE STREET TO WILLOW RIVER")</f>
        <v>VINE STREET TO WILLOW RIVER</v>
      </c>
      <c r="G476" s="3" t="str">
        <f>CLEAN("CONSTRUCTION/RECONSTRUCTION")</f>
        <v>CONSTRUCTION/RECONSTRUCTION</v>
      </c>
      <c r="H476" s="2" t="str">
        <f>CLEAN("STH 035")</f>
        <v>STH 035</v>
      </c>
      <c r="I476" s="2" t="str">
        <f>CLEAN("303")</f>
        <v>303</v>
      </c>
    </row>
    <row r="477" spans="1:9" x14ac:dyDescent="0.35">
      <c r="A477" s="2" t="str">
        <f t="shared" si="81"/>
        <v>ST. CROIX</v>
      </c>
      <c r="B477" s="2" t="str">
        <f t="shared" si="82"/>
        <v>CITY OF HUDSON</v>
      </c>
      <c r="C477" s="2" t="s">
        <v>1665</v>
      </c>
      <c r="D477" s="2" t="str">
        <f>CLEAN("8999-00-86")</f>
        <v>8999-00-86</v>
      </c>
      <c r="E477" s="3" t="str">
        <f>CLEAN("C HUDSON  11TH ST &amp; 11TH ST S")</f>
        <v>C HUDSON  11TH ST &amp; 11TH ST S</v>
      </c>
      <c r="F477" s="3" t="str">
        <f>CLEAN("COULEE RD TO WISCONSIN ST")</f>
        <v>COULEE RD TO WISCONSIN ST</v>
      </c>
      <c r="G477" s="3" t="str">
        <f>CLEAN("DESIGN - FULL PS&amp;E/RESURFACE")</f>
        <v>DESIGN - FULL PS&amp;E/RESURFACE</v>
      </c>
      <c r="H477" s="2" t="str">
        <f>CLEAN("LOC STR")</f>
        <v>LOC STR</v>
      </c>
      <c r="I477" s="2" t="str">
        <f>CLEAN("206")</f>
        <v>206</v>
      </c>
    </row>
    <row r="478" spans="1:9" x14ac:dyDescent="0.35">
      <c r="A478" s="2" t="str">
        <f t="shared" si="81"/>
        <v>ST. CROIX</v>
      </c>
      <c r="B478" s="2" t="str">
        <f t="shared" si="82"/>
        <v>CITY OF HUDSON</v>
      </c>
      <c r="C478" s="2" t="s">
        <v>1344</v>
      </c>
      <c r="D478" s="2" t="str">
        <f>CLEAN("8999-00-87")</f>
        <v>8999-00-87</v>
      </c>
      <c r="E478" s="3" t="str">
        <f>CLEAN("C HUDSON  11TH ST &amp; 11TH ST S")</f>
        <v>C HUDSON  11TH ST &amp; 11TH ST S</v>
      </c>
      <c r="F478" s="3" t="str">
        <f>CLEAN("COULEE RD TO WISCONSIN ST")</f>
        <v>COULEE RD TO WISCONSIN ST</v>
      </c>
      <c r="G478" s="3" t="str">
        <f>CLEAN("CONSTRUCTION/RESURFACE")</f>
        <v>CONSTRUCTION/RESURFACE</v>
      </c>
      <c r="H478" s="2" t="str">
        <f>CLEAN("LOC STR")</f>
        <v>LOC STR</v>
      </c>
      <c r="I478" s="2" t="str">
        <f>CLEAN("206")</f>
        <v>206</v>
      </c>
    </row>
    <row r="479" spans="1:9" x14ac:dyDescent="0.35">
      <c r="A479" s="2" t="str">
        <f t="shared" si="81"/>
        <v>ST. CROIX</v>
      </c>
      <c r="B479" s="2" t="str">
        <f t="shared" si="82"/>
        <v>CITY OF HUDSON</v>
      </c>
      <c r="C479" s="2" t="s">
        <v>1739</v>
      </c>
      <c r="D479" s="2" t="str">
        <f>CLEAN("8999-00-88")</f>
        <v>8999-00-88</v>
      </c>
      <c r="E479" s="3" t="str">
        <f>CLEAN("C HUDSON  HANLEY ROAD TRAIL")</f>
        <v>C HUDSON  HANLEY ROAD TRAIL</v>
      </c>
      <c r="F479" s="3" t="str">
        <f>CLEAN("HEGGEN ST TO NAMEKAGON ST")</f>
        <v>HEGGEN ST TO NAMEKAGON ST</v>
      </c>
      <c r="G479" s="3" t="str">
        <f>CLEAN("DESIGN/BIKE &amp; PED TRAIL/CRP")</f>
        <v>DESIGN/BIKE &amp; PED TRAIL/CRP</v>
      </c>
      <c r="H479" s="2" t="str">
        <f>CLEAN("OFF SYS")</f>
        <v>OFF SYS</v>
      </c>
      <c r="I479" s="2" t="str">
        <f>CLEAN("206")</f>
        <v>206</v>
      </c>
    </row>
    <row r="480" spans="1:9" x14ac:dyDescent="0.35">
      <c r="A480" s="2" t="str">
        <f>CLEAN("IRON")</f>
        <v>IRON</v>
      </c>
      <c r="B480" s="2" t="str">
        <f>CLEAN("CITY OF HURLEY")</f>
        <v>CITY OF HURLEY</v>
      </c>
      <c r="C480" s="2" t="s">
        <v>664</v>
      </c>
      <c r="D480" s="2" t="str">
        <f>CLEAN("1175-21-70")</f>
        <v>1175-21-70</v>
      </c>
      <c r="E480" s="3" t="str">
        <f>CLEAN("MANITOWISH - HURLEY")</f>
        <v>MANITOWISH - HURLEY</v>
      </c>
      <c r="F480" s="3" t="str">
        <f>CLEAN("IRON STREET TO USH 2")</f>
        <v>IRON STREET TO USH 2</v>
      </c>
      <c r="G480" s="3" t="str">
        <f>CLEAN("CONST/PAVEMENT REPLACEMENT")</f>
        <v>CONST/PAVEMENT REPLACEMENT</v>
      </c>
      <c r="H480" s="2" t="str">
        <f>CLEAN("USH 051")</f>
        <v>USH 051</v>
      </c>
      <c r="I480" s="2" t="str">
        <f t="shared" ref="I480:I485" si="83">CLEAN("303")</f>
        <v>303</v>
      </c>
    </row>
    <row r="481" spans="1:9" x14ac:dyDescent="0.35">
      <c r="A481" s="2" t="str">
        <f t="shared" ref="A481:A525" si="84">CLEAN("ROCK")</f>
        <v>ROCK</v>
      </c>
      <c r="B481" s="2" t="str">
        <f t="shared" ref="B481:B525" si="85">CLEAN("CITY OF JANESVILLE")</f>
        <v>CITY OF JANESVILLE</v>
      </c>
      <c r="C481" s="2" t="s">
        <v>2029</v>
      </c>
      <c r="D481" s="2" t="str">
        <f>CLEAN("5350-02-02")</f>
        <v>5350-02-02</v>
      </c>
      <c r="E481" s="3" t="str">
        <f>CLEAN("C JANESVILLE  CENTER AVENUE")</f>
        <v>C JANESVILLE  CENTER AVENUE</v>
      </c>
      <c r="F481" s="3" t="str">
        <f>CLEAN("COURT/MILWAUKEE/CENTERWAY INTERSCTN")</f>
        <v>COURT/MILWAUKEE/CENTERWAY INTERSCTN</v>
      </c>
      <c r="G481" s="3" t="str">
        <f>CLEAN("DESIGN/INTERSECTION IMPROVEMENTS")</f>
        <v>DESIGN/INTERSECTION IMPROVEMENTS</v>
      </c>
      <c r="H481" s="2" t="str">
        <f>CLEAN("USH 051")</f>
        <v>USH 051</v>
      </c>
      <c r="I481" s="2" t="str">
        <f t="shared" si="83"/>
        <v>303</v>
      </c>
    </row>
    <row r="482" spans="1:9" x14ac:dyDescent="0.35">
      <c r="A482" s="2" t="str">
        <f t="shared" si="84"/>
        <v>ROCK</v>
      </c>
      <c r="B482" s="2" t="str">
        <f t="shared" si="85"/>
        <v>CITY OF JANESVILLE</v>
      </c>
      <c r="C482" s="2" t="s">
        <v>2048</v>
      </c>
      <c r="D482" s="2" t="str">
        <f>CLEAN("5350-02-03")</f>
        <v>5350-02-03</v>
      </c>
      <c r="E482" s="3" t="str">
        <f>CLEAN("C JANESVILLE  CENTER AVENUE")</f>
        <v>C JANESVILLE  CENTER AVENUE</v>
      </c>
      <c r="F482" s="3" t="str">
        <f>CLEAN("MCKINLEY STREET INTERSECTION")</f>
        <v>MCKINLEY STREET INTERSECTION</v>
      </c>
      <c r="G482" s="3" t="str">
        <f>CLEAN("DESIGN/PEDESTRIAN REFUGE")</f>
        <v>DESIGN/PEDESTRIAN REFUGE</v>
      </c>
      <c r="H482" s="2" t="str">
        <f>CLEAN("USH 051")</f>
        <v>USH 051</v>
      </c>
      <c r="I482" s="2" t="str">
        <f t="shared" si="83"/>
        <v>303</v>
      </c>
    </row>
    <row r="483" spans="1:9" x14ac:dyDescent="0.35">
      <c r="A483" s="2" t="str">
        <f t="shared" si="84"/>
        <v>ROCK</v>
      </c>
      <c r="B483" s="2" t="str">
        <f t="shared" si="85"/>
        <v>CITY OF JANESVILLE</v>
      </c>
      <c r="C483" s="2" t="s">
        <v>2295</v>
      </c>
      <c r="D483" s="2" t="str">
        <f>CLEAN("5350-02-05")</f>
        <v>5350-02-05</v>
      </c>
      <c r="E483" s="3" t="str">
        <f>CLEAN("C JANESVILLE  CENTER AVENUE")</f>
        <v>C JANESVILLE  CENTER AVENUE</v>
      </c>
      <c r="F483" s="3" t="str">
        <f>CLEAN("UP RR BRIDGE B-53-135")</f>
        <v>UP RR BRIDGE B-53-135</v>
      </c>
      <c r="G483" s="3" t="str">
        <f>CLEAN("DESIGN-FULL PS&amp;E BRRPL")</f>
        <v>DESIGN-FULL PS&amp;E BRRPL</v>
      </c>
      <c r="H483" s="2" t="str">
        <f>CLEAN("USH 051")</f>
        <v>USH 051</v>
      </c>
      <c r="I483" s="2" t="str">
        <f t="shared" si="83"/>
        <v>303</v>
      </c>
    </row>
    <row r="484" spans="1:9" x14ac:dyDescent="0.35">
      <c r="A484" s="2" t="str">
        <f t="shared" si="84"/>
        <v>ROCK</v>
      </c>
      <c r="B484" s="2" t="str">
        <f t="shared" si="85"/>
        <v>CITY OF JANESVILLE</v>
      </c>
      <c r="C484" s="2" t="s">
        <v>2909</v>
      </c>
      <c r="D484" s="2" t="str">
        <f>CLEAN("5360-01-02")</f>
        <v>5360-01-02</v>
      </c>
      <c r="E484" s="3" t="str">
        <f>CLEAN("C JANESVILLE CENTERWAY &amp; MILTON AVE")</f>
        <v>C JANESVILLE CENTERWAY &amp; MILTON AVE</v>
      </c>
      <c r="F484" s="3" t="str">
        <f>CLEAN("PARKER DRIVE TO RANDOLPH STREET")</f>
        <v>PARKER DRIVE TO RANDOLPH STREET</v>
      </c>
      <c r="G484" s="3" t="str">
        <f>CLEAN("PE/PAVEMENT REPLACEMENT")</f>
        <v>PE/PAVEMENT REPLACEMENT</v>
      </c>
      <c r="H484" s="2" t="str">
        <f>CLEAN("STH 026")</f>
        <v>STH 026</v>
      </c>
      <c r="I484" s="2" t="str">
        <f t="shared" si="83"/>
        <v>303</v>
      </c>
    </row>
    <row r="485" spans="1:9" x14ac:dyDescent="0.35">
      <c r="A485" s="2" t="str">
        <f t="shared" si="84"/>
        <v>ROCK</v>
      </c>
      <c r="B485" s="2" t="str">
        <f t="shared" si="85"/>
        <v>CITY OF JANESVILLE</v>
      </c>
      <c r="C485" s="2" t="s">
        <v>2292</v>
      </c>
      <c r="D485" s="2" t="str">
        <f>CLEAN("5390-03-01")</f>
        <v>5390-03-01</v>
      </c>
      <c r="E485" s="3" t="str">
        <f>CLEAN("C JANESVILLE  CENTER AVENUE")</f>
        <v>C JANESVILLE  CENTER AVENUE</v>
      </c>
      <c r="F485" s="3" t="str">
        <f>CLEAN(".5M S OF KELLOGG AVE TO NICOLET ST")</f>
        <v>.5M S OF KELLOGG AVE TO NICOLET ST</v>
      </c>
      <c r="G485" s="3" t="str">
        <f>CLEAN("DESIGN-FULL PS&amp;E")</f>
        <v>DESIGN-FULL PS&amp;E</v>
      </c>
      <c r="H485" s="2" t="str">
        <f>CLEAN("USH 051")</f>
        <v>USH 051</v>
      </c>
      <c r="I485" s="2" t="str">
        <f t="shared" si="83"/>
        <v>303</v>
      </c>
    </row>
    <row r="486" spans="1:9" x14ac:dyDescent="0.35">
      <c r="A486" s="2" t="str">
        <f t="shared" si="84"/>
        <v>ROCK</v>
      </c>
      <c r="B486" s="2" t="str">
        <f t="shared" si="85"/>
        <v>CITY OF JANESVILLE</v>
      </c>
      <c r="C486" s="2" t="s">
        <v>1150</v>
      </c>
      <c r="D486" s="2" t="str">
        <f>CLEAN("5990-01-26")</f>
        <v>5990-01-26</v>
      </c>
      <c r="E486" s="3" t="str">
        <f>CLEAN("C JANESVILLE  TOWN SQUARE RIVERWALK")</f>
        <v>C JANESVILLE  TOWN SQUARE RIVERWALK</v>
      </c>
      <c r="F486" s="3" t="str">
        <f>CLEAN("MILWAUKEE STREET TO COURT STREET")</f>
        <v>MILWAUKEE STREET TO COURT STREET</v>
      </c>
      <c r="G486" s="3" t="str">
        <f>CLEAN("CONSTRUCTION OPS/WATERMAIN")</f>
        <v>CONSTRUCTION OPS/WATERMAIN</v>
      </c>
      <c r="H486" s="2" t="str">
        <f>CLEAN("NON HWY")</f>
        <v>NON HWY</v>
      </c>
      <c r="I486" s="2" t="str">
        <f>CLEAN("290")</f>
        <v>290</v>
      </c>
    </row>
    <row r="487" spans="1:9" x14ac:dyDescent="0.35">
      <c r="A487" s="2" t="str">
        <f t="shared" si="84"/>
        <v>ROCK</v>
      </c>
      <c r="B487" s="2" t="str">
        <f t="shared" si="85"/>
        <v>CITY OF JANESVILLE</v>
      </c>
      <c r="C487" s="2" t="s">
        <v>2283</v>
      </c>
      <c r="D487" s="2" t="str">
        <f>CLEAN("5990-01-29")</f>
        <v>5990-01-29</v>
      </c>
      <c r="E487" s="3" t="str">
        <f>CLEAN("C JANESVILLE  E MILWAUKEE STREET")</f>
        <v>C JANESVILLE  E MILWAUKEE STREET</v>
      </c>
      <c r="F487" s="3" t="str">
        <f>CLEAN("RANDALL AVENUE INTERSECTION")</f>
        <v>RANDALL AVENUE INTERSECTION</v>
      </c>
      <c r="G487" s="3" t="str">
        <f>CLEAN("DESIGN/SAFETY/SIGNAL IMPROVEMENTS")</f>
        <v>DESIGN/SAFETY/SIGNAL IMPROVEMENTS</v>
      </c>
      <c r="H487" s="2" t="str">
        <f>CLEAN("LOC STR")</f>
        <v>LOC STR</v>
      </c>
      <c r="I487" s="2" t="str">
        <f>CLEAN("206")</f>
        <v>206</v>
      </c>
    </row>
    <row r="488" spans="1:9" x14ac:dyDescent="0.35">
      <c r="A488" s="2" t="str">
        <f t="shared" si="84"/>
        <v>ROCK</v>
      </c>
      <c r="B488" s="2" t="str">
        <f t="shared" si="85"/>
        <v>CITY OF JANESVILLE</v>
      </c>
      <c r="C488" s="2" t="s">
        <v>2920</v>
      </c>
      <c r="D488" s="2" t="str">
        <f>CLEAN("5990-03-14")</f>
        <v>5990-03-14</v>
      </c>
      <c r="E488" s="3" t="str">
        <f>CLEAN("C JANESVILLE  FISHER CREEK TRAIL")</f>
        <v>C JANESVILLE  FISHER CREEK TRAIL</v>
      </c>
      <c r="F488" s="3" t="str">
        <f>CLEAN("W. COURT STREET TO DARTMOUTH DRIVE")</f>
        <v>W. COURT STREET TO DARTMOUTH DRIVE</v>
      </c>
      <c r="G488" s="3" t="str">
        <f>CLEAN("PE/PL CHECK BIKE/PED PATH")</f>
        <v>PE/PL CHECK BIKE/PED PATH</v>
      </c>
      <c r="H488" s="2" t="str">
        <f>CLEAN("NON HWY")</f>
        <v>NON HWY</v>
      </c>
      <c r="I488" s="2" t="str">
        <f>CLEAN("290")</f>
        <v>290</v>
      </c>
    </row>
    <row r="489" spans="1:9" x14ac:dyDescent="0.35">
      <c r="A489" s="2" t="str">
        <f t="shared" si="84"/>
        <v>ROCK</v>
      </c>
      <c r="B489" s="2" t="str">
        <f t="shared" si="85"/>
        <v>CITY OF JANESVILLE</v>
      </c>
      <c r="C489" s="2" t="s">
        <v>3042</v>
      </c>
      <c r="D489" s="2" t="str">
        <f>CLEAN("5990-03-15")</f>
        <v>5990-03-15</v>
      </c>
      <c r="E489" s="3" t="str">
        <f>CLEAN("C JANESVILLE  FISHER CREEK TRAIL")</f>
        <v>C JANESVILLE  FISHER CREEK TRAIL</v>
      </c>
      <c r="F489" s="3" t="str">
        <f>CLEAN("W. COURT STREET TO DARTMOUTH DRIVE")</f>
        <v>W. COURT STREET TO DARTMOUTH DRIVE</v>
      </c>
      <c r="G489" s="3" t="str">
        <f>CLEAN("PEDESTRIAN/BICYCLE MULTI-USE TRAIL")</f>
        <v>PEDESTRIAN/BICYCLE MULTI-USE TRAIL</v>
      </c>
      <c r="H489" s="2" t="str">
        <f>CLEAN("NON HWY")</f>
        <v>NON HWY</v>
      </c>
      <c r="I489" s="2" t="str">
        <f>CLEAN("290")</f>
        <v>290</v>
      </c>
    </row>
    <row r="490" spans="1:9" x14ac:dyDescent="0.35">
      <c r="A490" s="2" t="str">
        <f t="shared" si="84"/>
        <v>ROCK</v>
      </c>
      <c r="B490" s="2" t="str">
        <f t="shared" si="85"/>
        <v>CITY OF JANESVILLE</v>
      </c>
      <c r="C490" s="2" t="s">
        <v>2114</v>
      </c>
      <c r="D490" s="2" t="str">
        <f>CLEAN("5990-04-02")</f>
        <v>5990-04-02</v>
      </c>
      <c r="E490" s="3" t="str">
        <f>CLEAN("C JANESVILLE  PED FLASHING BEACONS")</f>
        <v>C JANESVILLE  PED FLASHING BEACONS</v>
      </c>
      <c r="F490" s="3" t="str">
        <f>CLEAN("C JANESVILLE  VARIOUS LOCATIONS")</f>
        <v>C JANESVILLE  VARIOUS LOCATIONS</v>
      </c>
      <c r="G490" s="3" t="str">
        <f>CLEAN("DESIGN/PLAN CHECK REVIEW/FLSH BCNS")</f>
        <v>DESIGN/PLAN CHECK REVIEW/FLSH BCNS</v>
      </c>
      <c r="H490" s="2" t="str">
        <f>CLEAN("VAR HWY")</f>
        <v>VAR HWY</v>
      </c>
      <c r="I490" s="2" t="str">
        <f>CLEAN("206")</f>
        <v>206</v>
      </c>
    </row>
    <row r="491" spans="1:9" x14ac:dyDescent="0.35">
      <c r="A491" s="2" t="str">
        <f t="shared" si="84"/>
        <v>ROCK</v>
      </c>
      <c r="B491" s="2" t="str">
        <f t="shared" si="85"/>
        <v>CITY OF JANESVILLE</v>
      </c>
      <c r="C491" s="2" t="s">
        <v>2119</v>
      </c>
      <c r="D491" s="2" t="str">
        <f>CLEAN("5990-05-01")</f>
        <v>5990-05-01</v>
      </c>
      <c r="E491" s="3" t="str">
        <f>CLEAN("C JANESVILLE  W. BANK PED LIGHTING")</f>
        <v>C JANESVILLE  W. BANK PED LIGHTING</v>
      </c>
      <c r="F491" s="3" t="str">
        <f>CLEAN("W. CENTERWAY TO E. MILWAUKEE ST.")</f>
        <v>W. CENTERWAY TO E. MILWAUKEE ST.</v>
      </c>
      <c r="G491" s="3" t="str">
        <f>CLEAN("DESIGN/PLAN CHECK REVIEW/LIGHTING")</f>
        <v>DESIGN/PLAN CHECK REVIEW/LIGHTING</v>
      </c>
      <c r="H491" s="2" t="str">
        <f>CLEAN("VAR HWY")</f>
        <v>VAR HWY</v>
      </c>
      <c r="I491" s="2" t="str">
        <f>CLEAN("206")</f>
        <v>206</v>
      </c>
    </row>
    <row r="492" spans="1:9" x14ac:dyDescent="0.35">
      <c r="A492" s="2" t="str">
        <f t="shared" si="84"/>
        <v>ROCK</v>
      </c>
      <c r="B492" s="2" t="str">
        <f t="shared" si="85"/>
        <v>CITY OF JANESVILLE</v>
      </c>
      <c r="C492" s="2" t="s">
        <v>2115</v>
      </c>
      <c r="D492" s="2" t="str">
        <f>CLEAN("5990-05-02")</f>
        <v>5990-05-02</v>
      </c>
      <c r="E492" s="3" t="str">
        <f>CLEAN("C JANESVILLE  PEDESTRIAN LIGHTING")</f>
        <v>C JANESVILLE  PEDESTRIAN LIGHTING</v>
      </c>
      <c r="F492" s="3" t="str">
        <f>CLEAN("C JANESVILLE  TRANSIT TRANSFER CENT")</f>
        <v>C JANESVILLE  TRANSIT TRANSFER CENT</v>
      </c>
      <c r="G492" s="3" t="str">
        <f>CLEAN("DESIGN/PLAN CHECK REVIEW/LIGHTING")</f>
        <v>DESIGN/PLAN CHECK REVIEW/LIGHTING</v>
      </c>
      <c r="H492" s="2" t="str">
        <f>CLEAN("VAR HWY")</f>
        <v>VAR HWY</v>
      </c>
      <c r="I492" s="2" t="str">
        <f>CLEAN("206")</f>
        <v>206</v>
      </c>
    </row>
    <row r="493" spans="1:9" x14ac:dyDescent="0.35">
      <c r="A493" s="2" t="str">
        <f t="shared" si="84"/>
        <v>ROCK</v>
      </c>
      <c r="B493" s="2" t="str">
        <f t="shared" si="85"/>
        <v>CITY OF JANESVILLE</v>
      </c>
      <c r="C493" s="2" t="s">
        <v>292</v>
      </c>
      <c r="D493" s="2" t="str">
        <f>CLEAN("1005-10-77")</f>
        <v>1005-10-77</v>
      </c>
      <c r="E493" s="3" t="str">
        <f>CLEAN("ILLINOIS STATE LINE - MADISON")</f>
        <v>ILLINOIS STATE LINE - MADISON</v>
      </c>
      <c r="F493" s="3" t="str">
        <f>CLEAN("USH 14 INT NORTH TO KENNEDY ROAD")</f>
        <v>USH 14 INT NORTH TO KENNEDY ROAD</v>
      </c>
      <c r="G493" s="3" t="str">
        <f>CLEAN("CONST OPS/RECSTE/PVMNT/STRCT/INTRCH")</f>
        <v>CONST OPS/RECSTE/PVMNT/STRCT/INTRCH</v>
      </c>
      <c r="H493" s="2" t="str">
        <f>CLEAN("IH  039")</f>
        <v>IH  039</v>
      </c>
      <c r="I493" s="2" t="str">
        <f>CLEAN("302")</f>
        <v>302</v>
      </c>
    </row>
    <row r="494" spans="1:9" x14ac:dyDescent="0.35">
      <c r="A494" s="2" t="str">
        <f t="shared" si="84"/>
        <v>ROCK</v>
      </c>
      <c r="B494" s="2" t="str">
        <f t="shared" si="85"/>
        <v>CITY OF JANESVILLE</v>
      </c>
      <c r="C494" s="2" t="s">
        <v>323</v>
      </c>
      <c r="D494" s="2" t="str">
        <f>CLEAN("1005-10-83")</f>
        <v>1005-10-83</v>
      </c>
      <c r="E494" s="3" t="str">
        <f>CLEAN("ILLINOIS STATE LINE - MADISON")</f>
        <v>ILLINOIS STATE LINE - MADISON</v>
      </c>
      <c r="F494" s="3" t="str">
        <f>CLEAN("USH 14 INT NORTH TO KENNEDY ROAD")</f>
        <v>USH 14 INT NORTH TO KENNEDY ROAD</v>
      </c>
      <c r="G494" s="3" t="str">
        <f>CLEAN("CONST OPS/WATER MAIN")</f>
        <v>CONST OPS/WATER MAIN</v>
      </c>
      <c r="H494" s="2" t="str">
        <f>CLEAN("IH  039")</f>
        <v>IH  039</v>
      </c>
      <c r="I494" s="2" t="str">
        <f>CLEAN("302")</f>
        <v>302</v>
      </c>
    </row>
    <row r="495" spans="1:9" x14ac:dyDescent="0.35">
      <c r="A495" s="2" t="str">
        <f t="shared" si="84"/>
        <v>ROCK</v>
      </c>
      <c r="B495" s="2" t="str">
        <f t="shared" si="85"/>
        <v>CITY OF JANESVILLE</v>
      </c>
      <c r="C495" s="2" t="s">
        <v>2614</v>
      </c>
      <c r="D495" s="2" t="str">
        <f>CLEAN("5350-02-00")</f>
        <v>5350-02-00</v>
      </c>
      <c r="E495" s="3" t="str">
        <f>CLEAN("C JANESVILLE  CENTER AVENUE")</f>
        <v>C JANESVILLE  CENTER AVENUE</v>
      </c>
      <c r="F495" s="3" t="str">
        <f>CLEAN("NICOLET STREET TO COURT STREET")</f>
        <v>NICOLET STREET TO COURT STREET</v>
      </c>
      <c r="G495" s="3" t="str">
        <f>CLEAN("PE/ PAVEMENT REPLACEMENT")</f>
        <v>PE/ PAVEMENT REPLACEMENT</v>
      </c>
      <c r="H495" s="2" t="str">
        <f t="shared" ref="H495:H501" si="86">CLEAN("USH 051")</f>
        <v>USH 051</v>
      </c>
      <c r="I495" s="2" t="str">
        <f t="shared" ref="I495:I501" si="87">CLEAN("303")</f>
        <v>303</v>
      </c>
    </row>
    <row r="496" spans="1:9" x14ac:dyDescent="0.35">
      <c r="A496" s="2" t="str">
        <f t="shared" si="84"/>
        <v>ROCK</v>
      </c>
      <c r="B496" s="2" t="str">
        <f t="shared" si="85"/>
        <v>CITY OF JANESVILLE</v>
      </c>
      <c r="C496" s="2" t="s">
        <v>350</v>
      </c>
      <c r="D496" s="2" t="str">
        <f>CLEAN("5350-02-70")</f>
        <v>5350-02-70</v>
      </c>
      <c r="E496" s="3" t="str">
        <f>CLEAN("C JANESVILLE  CENTER AVENUE")</f>
        <v>C JANESVILLE  CENTER AVENUE</v>
      </c>
      <c r="F496" s="3" t="str">
        <f>CLEAN("NICOLET STREET TO COURT STREET")</f>
        <v>NICOLET STREET TO COURT STREET</v>
      </c>
      <c r="G496" s="3" t="str">
        <f>CLEAN("CONST/ PAVEMENT REPLACEMENT")</f>
        <v>CONST/ PAVEMENT REPLACEMENT</v>
      </c>
      <c r="H496" s="2" t="str">
        <f t="shared" si="86"/>
        <v>USH 051</v>
      </c>
      <c r="I496" s="2" t="str">
        <f t="shared" si="87"/>
        <v>303</v>
      </c>
    </row>
    <row r="497" spans="1:9" x14ac:dyDescent="0.35">
      <c r="A497" s="2" t="str">
        <f t="shared" si="84"/>
        <v>ROCK</v>
      </c>
      <c r="B497" s="2" t="str">
        <f t="shared" si="85"/>
        <v>CITY OF JANESVILLE</v>
      </c>
      <c r="C497" s="2" t="s">
        <v>357</v>
      </c>
      <c r="D497" s="2" t="str">
        <f>CLEAN("5350-02-71")</f>
        <v>5350-02-71</v>
      </c>
      <c r="E497" s="3" t="str">
        <f>CLEAN("C JANESVILLE  CENTER AVE")</f>
        <v>C JANESVILLE  CENTER AVE</v>
      </c>
      <c r="F497" s="3" t="str">
        <f>CLEAN("NICOLET STREET TO COURT STREET")</f>
        <v>NICOLET STREET TO COURT STREET</v>
      </c>
      <c r="G497" s="3" t="str">
        <f>CLEAN("CONST/ WATER MAIN")</f>
        <v>CONST/ WATER MAIN</v>
      </c>
      <c r="H497" s="2" t="str">
        <f t="shared" si="86"/>
        <v>USH 051</v>
      </c>
      <c r="I497" s="2" t="str">
        <f t="shared" si="87"/>
        <v>303</v>
      </c>
    </row>
    <row r="498" spans="1:9" x14ac:dyDescent="0.35">
      <c r="A498" s="2" t="str">
        <f t="shared" si="84"/>
        <v>ROCK</v>
      </c>
      <c r="B498" s="2" t="str">
        <f t="shared" si="85"/>
        <v>CITY OF JANESVILLE</v>
      </c>
      <c r="C498" s="2" t="s">
        <v>583</v>
      </c>
      <c r="D498" s="2" t="str">
        <f>CLEAN("5350-02-72")</f>
        <v>5350-02-72</v>
      </c>
      <c r="E498" s="3" t="str">
        <f>CLEAN("C JANESVILLE  CENTER AVENUE")</f>
        <v>C JANESVILLE  CENTER AVENUE</v>
      </c>
      <c r="F498" s="3" t="str">
        <f>CLEAN("COURT/MILWAUKEE/CENTERWAY INTERSCTN")</f>
        <v>COURT/MILWAUKEE/CENTERWAY INTERSCTN</v>
      </c>
      <c r="G498" s="3" t="str">
        <f>CLEAN("CONST/INTERSECTION IMPROVEMENTS")</f>
        <v>CONST/INTERSECTION IMPROVEMENTS</v>
      </c>
      <c r="H498" s="2" t="str">
        <f t="shared" si="86"/>
        <v>USH 051</v>
      </c>
      <c r="I498" s="2" t="str">
        <f t="shared" si="87"/>
        <v>303</v>
      </c>
    </row>
    <row r="499" spans="1:9" x14ac:dyDescent="0.35">
      <c r="A499" s="2" t="str">
        <f t="shared" si="84"/>
        <v>ROCK</v>
      </c>
      <c r="B499" s="2" t="str">
        <f t="shared" si="85"/>
        <v>CITY OF JANESVILLE</v>
      </c>
      <c r="C499" s="2" t="s">
        <v>1100</v>
      </c>
      <c r="D499" s="2" t="str">
        <f>CLEAN("5350-02-74")</f>
        <v>5350-02-74</v>
      </c>
      <c r="E499" s="3" t="str">
        <f>CLEAN("C JANESVILLE  CENTER AVENUE")</f>
        <v>C JANESVILLE  CENTER AVENUE</v>
      </c>
      <c r="F499" s="3" t="str">
        <f>CLEAN("COURT/MILWAUKEE/CENTERWAY INTERSCT")</f>
        <v>COURT/MILWAUKEE/CENTERWAY INTERSCT</v>
      </c>
      <c r="G499" s="3" t="str">
        <f>CLEAN("CONST/WATER MAIN FOR 5350-02-72")</f>
        <v>CONST/WATER MAIN FOR 5350-02-72</v>
      </c>
      <c r="H499" s="2" t="str">
        <f t="shared" si="86"/>
        <v>USH 051</v>
      </c>
      <c r="I499" s="2" t="str">
        <f t="shared" si="87"/>
        <v>303</v>
      </c>
    </row>
    <row r="500" spans="1:9" x14ac:dyDescent="0.35">
      <c r="A500" s="2" t="str">
        <f t="shared" si="84"/>
        <v>ROCK</v>
      </c>
      <c r="B500" s="2" t="str">
        <f t="shared" si="85"/>
        <v>CITY OF JANESVILLE</v>
      </c>
      <c r="C500" s="2" t="s">
        <v>1149</v>
      </c>
      <c r="D500" s="2" t="str">
        <f>CLEAN("5350-02-75")</f>
        <v>5350-02-75</v>
      </c>
      <c r="E500" s="3" t="str">
        <f>CLEAN("C JANESVILLE  CENTER AVENUE")</f>
        <v>C JANESVILLE  CENTER AVENUE</v>
      </c>
      <c r="F500" s="3" t="str">
        <f>CLEAN("W STATE ST TO WSOR BRIDGE B-53-154")</f>
        <v>W STATE ST TO WSOR BRIDGE B-53-154</v>
      </c>
      <c r="G500" s="3" t="str">
        <f>CLEAN("CONSTRUCT/ RSRF20")</f>
        <v>CONSTRUCT/ RSRF20</v>
      </c>
      <c r="H500" s="2" t="str">
        <f t="shared" si="86"/>
        <v>USH 051</v>
      </c>
      <c r="I500" s="2" t="str">
        <f t="shared" si="87"/>
        <v>303</v>
      </c>
    </row>
    <row r="501" spans="1:9" x14ac:dyDescent="0.35">
      <c r="A501" s="2" t="str">
        <f t="shared" si="84"/>
        <v>ROCK</v>
      </c>
      <c r="B501" s="2" t="str">
        <f t="shared" si="85"/>
        <v>CITY OF JANESVILLE</v>
      </c>
      <c r="C501" s="2" t="s">
        <v>2300</v>
      </c>
      <c r="D501" s="2" t="str">
        <f>CLEAN("5390-00-06")</f>
        <v>5390-00-06</v>
      </c>
      <c r="E501" s="3" t="str">
        <f>CLEAN("C JANESVILLE  N PARKER DRIVE")</f>
        <v>C JANESVILLE  N PARKER DRIVE</v>
      </c>
      <c r="F501" s="3" t="str">
        <f>CLEAN("CENTERWAY ST TO BLACK BRIDGE ROAD")</f>
        <v>CENTERWAY ST TO BLACK BRIDGE ROAD</v>
      </c>
      <c r="G501" s="3" t="str">
        <f>CLEAN("DESIGN-FULL PS&amp;E PVRPLA")</f>
        <v>DESIGN-FULL PS&amp;E PVRPLA</v>
      </c>
      <c r="H501" s="2" t="str">
        <f t="shared" si="86"/>
        <v>USH 051</v>
      </c>
      <c r="I501" s="2" t="str">
        <f t="shared" si="87"/>
        <v>303</v>
      </c>
    </row>
    <row r="502" spans="1:9" x14ac:dyDescent="0.35">
      <c r="A502" s="2" t="str">
        <f t="shared" si="84"/>
        <v>ROCK</v>
      </c>
      <c r="B502" s="2" t="str">
        <f t="shared" si="85"/>
        <v>CITY OF JANESVILLE</v>
      </c>
      <c r="C502" s="2" t="s">
        <v>3093</v>
      </c>
      <c r="D502" s="2" t="str">
        <f>CLEAN("5569-00-55")</f>
        <v>5569-00-55</v>
      </c>
      <c r="E502" s="3" t="str">
        <f>CLEAN("UP RAIL ROAD SPUR  GOEX CORPORATION")</f>
        <v>UP RAIL ROAD SPUR  GOEX CORPORATION</v>
      </c>
      <c r="F502" s="3" t="str">
        <f>CLEAN("USH 14  C OF JANESVILLE  ROCK CO")</f>
        <v>USH 14  C OF JANESVILLE  ROCK CO</v>
      </c>
      <c r="G502" s="3" t="str">
        <f>CLEAN("R/R OPS  CONSTRUCTION")</f>
        <v>R/R OPS  CONSTRUCTION</v>
      </c>
      <c r="H502" s="2" t="str">
        <f>CLEAN("NON HWY")</f>
        <v>NON HWY</v>
      </c>
      <c r="I502" s="2" t="str">
        <f>CLEAN("209")</f>
        <v>209</v>
      </c>
    </row>
    <row r="503" spans="1:9" x14ac:dyDescent="0.35">
      <c r="A503" s="2" t="str">
        <f t="shared" si="84"/>
        <v>ROCK</v>
      </c>
      <c r="B503" s="2" t="str">
        <f t="shared" si="85"/>
        <v>CITY OF JANESVILLE</v>
      </c>
      <c r="C503" s="2" t="s">
        <v>126</v>
      </c>
      <c r="D503" s="2" t="str">
        <f>CLEAN("5990-00-34")</f>
        <v>5990-00-34</v>
      </c>
      <c r="E503" s="3" t="str">
        <f>CLEAN("C JANESVILLE  W MILWAUKEE STREET")</f>
        <v>C JANESVILLE  W MILWAUKEE STREET</v>
      </c>
      <c r="F503" s="3" t="str">
        <f>CLEAN("ROCK RIVER BRIDGE B-53-0294")</f>
        <v>ROCK RIVER BRIDGE B-53-0294</v>
      </c>
      <c r="G503" s="3" t="str">
        <f>CLEAN("CONST OPS/BRIDGE REPLACEMENT")</f>
        <v>CONST OPS/BRIDGE REPLACEMENT</v>
      </c>
      <c r="H503" s="2" t="str">
        <f>CLEAN("LOC STR")</f>
        <v>LOC STR</v>
      </c>
      <c r="I503" s="2" t="str">
        <f>CLEAN("205")</f>
        <v>205</v>
      </c>
    </row>
    <row r="504" spans="1:9" x14ac:dyDescent="0.35">
      <c r="A504" s="2" t="str">
        <f t="shared" si="84"/>
        <v>ROCK</v>
      </c>
      <c r="B504" s="2" t="str">
        <f t="shared" si="85"/>
        <v>CITY OF JANESVILLE</v>
      </c>
      <c r="C504" s="2" t="s">
        <v>2116</v>
      </c>
      <c r="D504" s="2" t="str">
        <f>CLEAN("5990-00-39")</f>
        <v>5990-00-39</v>
      </c>
      <c r="E504" s="3" t="str">
        <f>CLEAN("C JANESVILLE  BUS SHELTER LIGHTS")</f>
        <v>C JANESVILLE  BUS SHELTER LIGHTS</v>
      </c>
      <c r="F504" s="3" t="str">
        <f>CLEAN("C JANESVILLE  VARIOUS LOCATIONS")</f>
        <v>C JANESVILLE  VARIOUS LOCATIONS</v>
      </c>
      <c r="G504" s="3" t="str">
        <f>CLEAN("DESIGN/PLAN CHECK REVIEW/LIGHTING")</f>
        <v>DESIGN/PLAN CHECK REVIEW/LIGHTING</v>
      </c>
      <c r="H504" s="2" t="str">
        <f>CLEAN("VAR HWY")</f>
        <v>VAR HWY</v>
      </c>
      <c r="I504" s="2" t="str">
        <f t="shared" ref="I504:I525" si="88">CLEAN("206")</f>
        <v>206</v>
      </c>
    </row>
    <row r="505" spans="1:9" x14ac:dyDescent="0.35">
      <c r="A505" s="2" t="str">
        <f t="shared" si="84"/>
        <v>ROCK</v>
      </c>
      <c r="B505" s="2" t="str">
        <f t="shared" si="85"/>
        <v>CITY OF JANESVILLE</v>
      </c>
      <c r="C505" s="2" t="s">
        <v>595</v>
      </c>
      <c r="D505" s="2" t="str">
        <f>CLEAN("5990-00-40")</f>
        <v>5990-00-40</v>
      </c>
      <c r="E505" s="3" t="str">
        <f>CLEAN("C JANESVILLE  BUS SHELTER LIGHTS")</f>
        <v>C JANESVILLE  BUS SHELTER LIGHTS</v>
      </c>
      <c r="F505" s="3" t="str">
        <f>CLEAN("C JANESVILLE  VARIOUS LOCATIONS")</f>
        <v>C JANESVILLE  VARIOUS LOCATIONS</v>
      </c>
      <c r="G505" s="3" t="str">
        <f>CLEAN("CONST/LIGHTING")</f>
        <v>CONST/LIGHTING</v>
      </c>
      <c r="H505" s="2" t="str">
        <f>CLEAN("VAR HWY")</f>
        <v>VAR HWY</v>
      </c>
      <c r="I505" s="2" t="str">
        <f t="shared" si="88"/>
        <v>206</v>
      </c>
    </row>
    <row r="506" spans="1:9" x14ac:dyDescent="0.35">
      <c r="A506" s="2" t="str">
        <f t="shared" si="84"/>
        <v>ROCK</v>
      </c>
      <c r="B506" s="2" t="str">
        <f t="shared" si="85"/>
        <v>CITY OF JANESVILLE</v>
      </c>
      <c r="C506" s="2" t="s">
        <v>2118</v>
      </c>
      <c r="D506" s="2" t="str">
        <f>CLEAN("5990-00-41")</f>
        <v>5990-00-41</v>
      </c>
      <c r="E506" s="3" t="str">
        <f>CLEAN("C JANESVILLE  E BANK PED LIGHTING")</f>
        <v>C JANESVILLE  E BANK PED LIGHTING</v>
      </c>
      <c r="F506" s="3" t="str">
        <f>CLEAN("W. CENTERWAY TO E. MILWAUKEE ST.")</f>
        <v>W. CENTERWAY TO E. MILWAUKEE ST.</v>
      </c>
      <c r="G506" s="3" t="str">
        <f>CLEAN("DESIGN/PLAN CHECK REVIEW/LIGHTING")</f>
        <v>DESIGN/PLAN CHECK REVIEW/LIGHTING</v>
      </c>
      <c r="H506" s="2" t="str">
        <f>CLEAN("VAR HWY")</f>
        <v>VAR HWY</v>
      </c>
      <c r="I506" s="2" t="str">
        <f t="shared" si="88"/>
        <v>206</v>
      </c>
    </row>
    <row r="507" spans="1:9" x14ac:dyDescent="0.35">
      <c r="A507" s="2" t="str">
        <f t="shared" si="84"/>
        <v>ROCK</v>
      </c>
      <c r="B507" s="2" t="str">
        <f t="shared" si="85"/>
        <v>CITY OF JANESVILLE</v>
      </c>
      <c r="C507" s="2" t="s">
        <v>685</v>
      </c>
      <c r="D507" s="2" t="str">
        <f>CLEAN("5990-00-42")</f>
        <v>5990-00-42</v>
      </c>
      <c r="E507" s="3" t="str">
        <f>CLEAN("C JANESVILLE  E. BANK PED LIGHTING")</f>
        <v>C JANESVILLE  E. BANK PED LIGHTING</v>
      </c>
      <c r="F507" s="3" t="str">
        <f>CLEAN("W. CENTERWAY TO E. MILWAUKEE ST.")</f>
        <v>W. CENTERWAY TO E. MILWAUKEE ST.</v>
      </c>
      <c r="G507" s="3" t="str">
        <f>CLEAN("CONST/PED LIGHTING")</f>
        <v>CONST/PED LIGHTING</v>
      </c>
      <c r="H507" s="2" t="str">
        <f>CLEAN("VAR HWY")</f>
        <v>VAR HWY</v>
      </c>
      <c r="I507" s="2" t="str">
        <f t="shared" si="88"/>
        <v>206</v>
      </c>
    </row>
    <row r="508" spans="1:9" x14ac:dyDescent="0.35">
      <c r="A508" s="2" t="str">
        <f t="shared" si="84"/>
        <v>ROCK</v>
      </c>
      <c r="B508" s="2" t="str">
        <f t="shared" si="85"/>
        <v>CITY OF JANESVILLE</v>
      </c>
      <c r="C508" s="2" t="s">
        <v>3068</v>
      </c>
      <c r="D508" s="2" t="str">
        <f>CLEAN("5990-00-43")</f>
        <v>5990-00-43</v>
      </c>
      <c r="E508" s="3" t="str">
        <f>CLEAN("C JANESVILLE  JOHN PAUL RD TRAIL")</f>
        <v>C JANESVILLE  JOHN PAUL RD TRAIL</v>
      </c>
      <c r="F508" s="3" t="str">
        <f>CLEAN("ICE AGE TRAILHEAD TO MCCORMICK DR.")</f>
        <v>ICE AGE TRAILHEAD TO MCCORMICK DR.</v>
      </c>
      <c r="G508" s="3" t="str">
        <f>CLEAN("PLAN &amp; ADMIN/PATH STUDY")</f>
        <v>PLAN &amp; ADMIN/PATH STUDY</v>
      </c>
      <c r="H508" s="2" t="str">
        <f>CLEAN("VAR HWY")</f>
        <v>VAR HWY</v>
      </c>
      <c r="I508" s="2" t="str">
        <f t="shared" si="88"/>
        <v>206</v>
      </c>
    </row>
    <row r="509" spans="1:9" x14ac:dyDescent="0.35">
      <c r="A509" s="2" t="str">
        <f t="shared" si="84"/>
        <v>ROCK</v>
      </c>
      <c r="B509" s="2" t="str">
        <f t="shared" si="85"/>
        <v>CITY OF JANESVILLE</v>
      </c>
      <c r="C509" s="2" t="s">
        <v>2179</v>
      </c>
      <c r="D509" s="2" t="str">
        <f>CLEAN("5990-00-80")</f>
        <v>5990-00-80</v>
      </c>
      <c r="E509" s="3" t="str">
        <f>CLEAN("C JANESVILLE  WEST MILWAUKEE STREET")</f>
        <v>C JANESVILLE  WEST MILWAUKEE STREET</v>
      </c>
      <c r="F509" s="3" t="str">
        <f>CLEAN("CENTER AVE TO RIVER STREET")</f>
        <v>CENTER AVE TO RIVER STREET</v>
      </c>
      <c r="G509" s="3" t="str">
        <f>CLEAN("DESIGN/PLAN CHECK REVIEW/RECST")</f>
        <v>DESIGN/PLAN CHECK REVIEW/RECST</v>
      </c>
      <c r="H509" s="2" t="str">
        <f t="shared" ref="H509:H518" si="89">CLEAN("LOC STR")</f>
        <v>LOC STR</v>
      </c>
      <c r="I509" s="2" t="str">
        <f t="shared" si="88"/>
        <v>206</v>
      </c>
    </row>
    <row r="510" spans="1:9" x14ac:dyDescent="0.35">
      <c r="A510" s="2" t="str">
        <f t="shared" si="84"/>
        <v>ROCK</v>
      </c>
      <c r="B510" s="2" t="str">
        <f t="shared" si="85"/>
        <v>CITY OF JANESVILLE</v>
      </c>
      <c r="C510" s="2" t="s">
        <v>1116</v>
      </c>
      <c r="D510" s="2" t="str">
        <f>CLEAN("5990-00-82")</f>
        <v>5990-00-82</v>
      </c>
      <c r="E510" s="3" t="str">
        <f>CLEAN("C OF JANESVILLE  WEST MILWAUKEE STR")</f>
        <v>C OF JANESVILLE  WEST MILWAUKEE STR</v>
      </c>
      <c r="F510" s="3" t="str">
        <f>CLEAN("100' E CENTER AVE TO RIVER STREET")</f>
        <v>100' E CENTER AVE TO RIVER STREET</v>
      </c>
      <c r="G510" s="3" t="str">
        <f>CLEAN("CONSTR OPS/UTILITIES/WATER MAIN")</f>
        <v>CONSTR OPS/UTILITIES/WATER MAIN</v>
      </c>
      <c r="H510" s="2" t="str">
        <f t="shared" si="89"/>
        <v>LOC STR</v>
      </c>
      <c r="I510" s="2" t="str">
        <f t="shared" si="88"/>
        <v>206</v>
      </c>
    </row>
    <row r="511" spans="1:9" x14ac:dyDescent="0.35">
      <c r="A511" s="2" t="str">
        <f t="shared" si="84"/>
        <v>ROCK</v>
      </c>
      <c r="B511" s="2" t="str">
        <f t="shared" si="85"/>
        <v>CITY OF JANESVILLE</v>
      </c>
      <c r="C511" s="2" t="s">
        <v>1861</v>
      </c>
      <c r="D511" s="2" t="str">
        <f>CLEAN("5990-01-33")</f>
        <v>5990-01-33</v>
      </c>
      <c r="E511" s="3" t="str">
        <f>CLEAN("C JANESVILLE  W COURT STREET")</f>
        <v>C JANESVILLE  W COURT STREET</v>
      </c>
      <c r="F511" s="3" t="str">
        <f>CLEAN("WAVELAND ROAD TO PEARL STREET")</f>
        <v>WAVELAND ROAD TO PEARL STREET</v>
      </c>
      <c r="G511" s="3" t="str">
        <f>CLEAN("DESIGN/CONVERT TO TWLTL")</f>
        <v>DESIGN/CONVERT TO TWLTL</v>
      </c>
      <c r="H511" s="2" t="str">
        <f t="shared" si="89"/>
        <v>LOC STR</v>
      </c>
      <c r="I511" s="2" t="str">
        <f t="shared" si="88"/>
        <v>206</v>
      </c>
    </row>
    <row r="512" spans="1:9" x14ac:dyDescent="0.35">
      <c r="A512" s="2" t="str">
        <f t="shared" si="84"/>
        <v>ROCK</v>
      </c>
      <c r="B512" s="2" t="str">
        <f t="shared" si="85"/>
        <v>CITY OF JANESVILLE</v>
      </c>
      <c r="C512" s="2" t="s">
        <v>532</v>
      </c>
      <c r="D512" s="2" t="str">
        <f>CLEAN("5990-01-34")</f>
        <v>5990-01-34</v>
      </c>
      <c r="E512" s="3" t="str">
        <f>CLEAN("C JANESVILLE  W COURT STREET")</f>
        <v>C JANESVILLE  W COURT STREET</v>
      </c>
      <c r="F512" s="3" t="str">
        <f>CLEAN("WAVELAND ROAD TO PEARL STREET")</f>
        <v>WAVELAND ROAD TO PEARL STREET</v>
      </c>
      <c r="G512" s="3" t="str">
        <f>CLEAN("CONST/CONVERT TO TWLTL")</f>
        <v>CONST/CONVERT TO TWLTL</v>
      </c>
      <c r="H512" s="2" t="str">
        <f t="shared" si="89"/>
        <v>LOC STR</v>
      </c>
      <c r="I512" s="2" t="str">
        <f t="shared" si="88"/>
        <v>206</v>
      </c>
    </row>
    <row r="513" spans="1:9" x14ac:dyDescent="0.35">
      <c r="A513" s="2" t="str">
        <f t="shared" si="84"/>
        <v>ROCK</v>
      </c>
      <c r="B513" s="2" t="str">
        <f t="shared" si="85"/>
        <v>CITY OF JANESVILLE</v>
      </c>
      <c r="C513" s="2" t="s">
        <v>2289</v>
      </c>
      <c r="D513" s="2" t="str">
        <f>CLEAN("5990-01-35")</f>
        <v>5990-01-35</v>
      </c>
      <c r="E513" s="3" t="str">
        <f>CLEAN("C JANESVILLE  W COURT ST INTERSCTNS")</f>
        <v>C JANESVILLE  W COURT ST INTERSCTNS</v>
      </c>
      <c r="F513" s="3" t="str">
        <f>CLEAN("N CROSBY AV; N ARCH ST; N PEARL ST")</f>
        <v>N CROSBY AV; N ARCH ST; N PEARL ST</v>
      </c>
      <c r="G513" s="3" t="str">
        <f>CLEAN("DESIGN/TURN LANES/MONOTUBES")</f>
        <v>DESIGN/TURN LANES/MONOTUBES</v>
      </c>
      <c r="H513" s="2" t="str">
        <f t="shared" si="89"/>
        <v>LOC STR</v>
      </c>
      <c r="I513" s="2" t="str">
        <f t="shared" si="88"/>
        <v>206</v>
      </c>
    </row>
    <row r="514" spans="1:9" x14ac:dyDescent="0.35">
      <c r="A514" s="2" t="str">
        <f t="shared" si="84"/>
        <v>ROCK</v>
      </c>
      <c r="B514" s="2" t="str">
        <f t="shared" si="85"/>
        <v>CITY OF JANESVILLE</v>
      </c>
      <c r="C514" s="2" t="s">
        <v>1089</v>
      </c>
      <c r="D514" s="2" t="str">
        <f>CLEAN("5990-01-36")</f>
        <v>5990-01-36</v>
      </c>
      <c r="E514" s="3" t="str">
        <f>CLEAN("C JANESVILLE  W COURT ST INTERSCTNS")</f>
        <v>C JANESVILLE  W COURT ST INTERSCTNS</v>
      </c>
      <c r="F514" s="3" t="str">
        <f>CLEAN("N CROSBY AV; N ARCH ST; N PEARL ST")</f>
        <v>N CROSBY AV; N ARCH ST; N PEARL ST</v>
      </c>
      <c r="G514" s="3" t="str">
        <f>CLEAN("CONST/TURN LANES/MONOTUBES")</f>
        <v>CONST/TURN LANES/MONOTUBES</v>
      </c>
      <c r="H514" s="2" t="str">
        <f t="shared" si="89"/>
        <v>LOC STR</v>
      </c>
      <c r="I514" s="2" t="str">
        <f t="shared" si="88"/>
        <v>206</v>
      </c>
    </row>
    <row r="515" spans="1:9" x14ac:dyDescent="0.35">
      <c r="A515" s="2" t="str">
        <f t="shared" si="84"/>
        <v>ROCK</v>
      </c>
      <c r="B515" s="2" t="str">
        <f t="shared" si="85"/>
        <v>CITY OF JANESVILLE</v>
      </c>
      <c r="C515" s="2" t="s">
        <v>599</v>
      </c>
      <c r="D515" s="2" t="str">
        <f>CLEAN("5990-01-37")</f>
        <v>5990-01-37</v>
      </c>
      <c r="E515" s="3" t="str">
        <f>CLEAN("C JANESVILLE  W COURT STREET")</f>
        <v>C JANESVILLE  W COURT STREET</v>
      </c>
      <c r="F515" s="3" t="str">
        <f>CLEAN("CROSBY AVENUE TO WASHINGTON STREET")</f>
        <v>CROSBY AVENUE TO WASHINGTON STREET</v>
      </c>
      <c r="G515" s="3" t="str">
        <f>CLEAN("CONST/LOCAL PAVEMENT AND WATER MAIN")</f>
        <v>CONST/LOCAL PAVEMENT AND WATER MAIN</v>
      </c>
      <c r="H515" s="2" t="str">
        <f t="shared" si="89"/>
        <v>LOC STR</v>
      </c>
      <c r="I515" s="2" t="str">
        <f t="shared" si="88"/>
        <v>206</v>
      </c>
    </row>
    <row r="516" spans="1:9" x14ac:dyDescent="0.35">
      <c r="A516" s="2" t="str">
        <f t="shared" si="84"/>
        <v>ROCK</v>
      </c>
      <c r="B516" s="2" t="str">
        <f t="shared" si="85"/>
        <v>CITY OF JANESVILLE</v>
      </c>
      <c r="C516" s="2" t="s">
        <v>2173</v>
      </c>
      <c r="D516" s="2" t="str">
        <f>CLEAN("5990-01-40")</f>
        <v>5990-01-40</v>
      </c>
      <c r="E516" s="3" t="str">
        <f>CLEAN("C OF JANESVILLE  EAST MILWAUKEE STR")</f>
        <v>C OF JANESVILLE  EAST MILWAUKEE STR</v>
      </c>
      <c r="F516" s="3" t="str">
        <f>CLEAN("ATWOOD AVENUE TO MAIN STREET")</f>
        <v>ATWOOD AVENUE TO MAIN STREET</v>
      </c>
      <c r="G516" s="3" t="str">
        <f>CLEAN("DESIGN/PLAN CHECK REVIEW/RECST")</f>
        <v>DESIGN/PLAN CHECK REVIEW/RECST</v>
      </c>
      <c r="H516" s="2" t="str">
        <f t="shared" si="89"/>
        <v>LOC STR</v>
      </c>
      <c r="I516" s="2" t="str">
        <f t="shared" si="88"/>
        <v>206</v>
      </c>
    </row>
    <row r="517" spans="1:9" x14ac:dyDescent="0.35">
      <c r="A517" s="2" t="str">
        <f t="shared" si="84"/>
        <v>ROCK</v>
      </c>
      <c r="B517" s="2" t="str">
        <f t="shared" si="85"/>
        <v>CITY OF JANESVILLE</v>
      </c>
      <c r="C517" s="2" t="s">
        <v>235</v>
      </c>
      <c r="D517" s="2" t="str">
        <f>CLEAN("5990-01-41")</f>
        <v>5990-01-41</v>
      </c>
      <c r="E517" s="3" t="str">
        <f>CLEAN("C OF JANESVILLE  EAST MILWAUKEE STR")</f>
        <v>C OF JANESVILLE  EAST MILWAUKEE STR</v>
      </c>
      <c r="F517" s="3" t="str">
        <f>CLEAN("ATWOOD AVENUE TO MAIN STREET")</f>
        <v>ATWOOD AVENUE TO MAIN STREET</v>
      </c>
      <c r="G517" s="3" t="str">
        <f>CLEAN("CONST OPS/RECONSTRUCTION")</f>
        <v>CONST OPS/RECONSTRUCTION</v>
      </c>
      <c r="H517" s="2" t="str">
        <f t="shared" si="89"/>
        <v>LOC STR</v>
      </c>
      <c r="I517" s="2" t="str">
        <f t="shared" si="88"/>
        <v>206</v>
      </c>
    </row>
    <row r="518" spans="1:9" x14ac:dyDescent="0.35">
      <c r="A518" s="2" t="str">
        <f t="shared" si="84"/>
        <v>ROCK</v>
      </c>
      <c r="B518" s="2" t="str">
        <f t="shared" si="85"/>
        <v>CITY OF JANESVILLE</v>
      </c>
      <c r="C518" s="2" t="s">
        <v>234</v>
      </c>
      <c r="D518" s="2" t="str">
        <f>CLEAN("5990-01-42")</f>
        <v>5990-01-42</v>
      </c>
      <c r="E518" s="3" t="str">
        <f>CLEAN("C OF JANESVILLE  EAST MILWAUKEE STR")</f>
        <v>C OF JANESVILLE  EAST MILWAUKEE STR</v>
      </c>
      <c r="F518" s="3" t="str">
        <f>CLEAN("ATWOOD AVENUE TO MAIN STREET")</f>
        <v>ATWOOD AVENUE TO MAIN STREET</v>
      </c>
      <c r="G518" s="3" t="str">
        <f>CLEAN("CONST OPS/RECONSTRUCTION")</f>
        <v>CONST OPS/RECONSTRUCTION</v>
      </c>
      <c r="H518" s="2" t="str">
        <f t="shared" si="89"/>
        <v>LOC STR</v>
      </c>
      <c r="I518" s="2" t="str">
        <f t="shared" si="88"/>
        <v>206</v>
      </c>
    </row>
    <row r="519" spans="1:9" x14ac:dyDescent="0.35">
      <c r="A519" s="2" t="str">
        <f t="shared" si="84"/>
        <v>ROCK</v>
      </c>
      <c r="B519" s="2" t="str">
        <f t="shared" si="85"/>
        <v>CITY OF JANESVILLE</v>
      </c>
      <c r="C519" s="2" t="s">
        <v>525</v>
      </c>
      <c r="D519" s="2" t="str">
        <f>CLEAN("5990-02-29")</f>
        <v>5990-02-29</v>
      </c>
      <c r="E519" s="3" t="str">
        <f>CLEAN("C JANESVILLE  LED STREET LIGHTS")</f>
        <v>C JANESVILLE  LED STREET LIGHTS</v>
      </c>
      <c r="F519" s="3" t="str">
        <f>CLEAN("VARIOUS LOCATIONS - C JANESVILLE")</f>
        <v>VARIOUS LOCATIONS - C JANESVILLE</v>
      </c>
      <c r="G519" s="3" t="str">
        <f>CLEAN("CONST/CARBON RED-LED LIGHTING")</f>
        <v>CONST/CARBON RED-LED LIGHTING</v>
      </c>
      <c r="H519" s="2" t="str">
        <f>CLEAN("VAR HWY")</f>
        <v>VAR HWY</v>
      </c>
      <c r="I519" s="2" t="str">
        <f t="shared" si="88"/>
        <v>206</v>
      </c>
    </row>
    <row r="520" spans="1:9" x14ac:dyDescent="0.35">
      <c r="A520" s="2" t="str">
        <f t="shared" si="84"/>
        <v>ROCK</v>
      </c>
      <c r="B520" s="2" t="str">
        <f t="shared" si="85"/>
        <v>CITY OF JANESVILLE</v>
      </c>
      <c r="C520" s="2" t="s">
        <v>2214</v>
      </c>
      <c r="D520" s="2" t="str">
        <f>CLEAN("5990-02-40")</f>
        <v>5990-02-40</v>
      </c>
      <c r="E520" s="3" t="str">
        <f>CLEAN("CITY OF JANESVILLE  RUGER AVENUE")</f>
        <v>CITY OF JANESVILLE  RUGER AVENUE</v>
      </c>
      <c r="F520" s="3" t="str">
        <f>CLEAN("S RANDALL AVE TO S LEXINGTON DR")</f>
        <v>S RANDALL AVE TO S LEXINGTON DR</v>
      </c>
      <c r="G520" s="3" t="str">
        <f>CLEAN("DESIGN/PLAN CHECK REVIEW/RECST")</f>
        <v>DESIGN/PLAN CHECK REVIEW/RECST</v>
      </c>
      <c r="H520" s="2" t="str">
        <f t="shared" ref="H520:H525" si="90">CLEAN("LOC STR")</f>
        <v>LOC STR</v>
      </c>
      <c r="I520" s="2" t="str">
        <f t="shared" si="88"/>
        <v>206</v>
      </c>
    </row>
    <row r="521" spans="1:9" x14ac:dyDescent="0.35">
      <c r="A521" s="2" t="str">
        <f t="shared" si="84"/>
        <v>ROCK</v>
      </c>
      <c r="B521" s="2" t="str">
        <f t="shared" si="85"/>
        <v>CITY OF JANESVILLE</v>
      </c>
      <c r="C521" s="2" t="s">
        <v>260</v>
      </c>
      <c r="D521" s="2" t="str">
        <f>CLEAN("5990-02-41")</f>
        <v>5990-02-41</v>
      </c>
      <c r="E521" s="3" t="str">
        <f>CLEAN("CITY OF JANESVILLE  RUGER AVENUE")</f>
        <v>CITY OF JANESVILLE  RUGER AVENUE</v>
      </c>
      <c r="F521" s="3" t="str">
        <f>CLEAN("S RANDALL AVE TO S LEXINGTON DR")</f>
        <v>S RANDALL AVE TO S LEXINGTON DR</v>
      </c>
      <c r="G521" s="3" t="str">
        <f>CLEAN("CONST OPS/RECONSTRUCTION")</f>
        <v>CONST OPS/RECONSTRUCTION</v>
      </c>
      <c r="H521" s="2" t="str">
        <f t="shared" si="90"/>
        <v>LOC STR</v>
      </c>
      <c r="I521" s="2" t="str">
        <f t="shared" si="88"/>
        <v>206</v>
      </c>
    </row>
    <row r="522" spans="1:9" x14ac:dyDescent="0.35">
      <c r="A522" s="2" t="str">
        <f t="shared" si="84"/>
        <v>ROCK</v>
      </c>
      <c r="B522" s="2" t="str">
        <f t="shared" si="85"/>
        <v>CITY OF JANESVILLE</v>
      </c>
      <c r="C522" s="2" t="s">
        <v>186</v>
      </c>
      <c r="D522" s="2" t="str">
        <f>CLEAN("5990-02-42")</f>
        <v>5990-02-42</v>
      </c>
      <c r="E522" s="3" t="str">
        <f>CLEAN("CITY OF JANESVILLE  RUGER AVENUE")</f>
        <v>CITY OF JANESVILLE  RUGER AVENUE</v>
      </c>
      <c r="F522" s="3" t="str">
        <f>CLEAN("S RANDALL AVE TO S LEXINGTON AVE")</f>
        <v>S RANDALL AVE TO S LEXINGTON AVE</v>
      </c>
      <c r="G522" s="3" t="str">
        <f>CLEAN("CONST OPS/MUNICIPAL UTILITIES")</f>
        <v>CONST OPS/MUNICIPAL UTILITIES</v>
      </c>
      <c r="H522" s="2" t="str">
        <f t="shared" si="90"/>
        <v>LOC STR</v>
      </c>
      <c r="I522" s="2" t="str">
        <f t="shared" si="88"/>
        <v>206</v>
      </c>
    </row>
    <row r="523" spans="1:9" x14ac:dyDescent="0.35">
      <c r="A523" s="2" t="str">
        <f t="shared" si="84"/>
        <v>ROCK</v>
      </c>
      <c r="B523" s="2" t="str">
        <f t="shared" si="85"/>
        <v>CITY OF JANESVILLE</v>
      </c>
      <c r="C523" s="2" t="s">
        <v>1526</v>
      </c>
      <c r="D523" s="2" t="str">
        <f>CLEAN("5990-03-70")</f>
        <v>5990-03-70</v>
      </c>
      <c r="E523" s="3" t="str">
        <f>CLEAN("CITY OF JANESVILLE  E MEMORIAL DR")</f>
        <v>CITY OF JANESVILLE  E MEMORIAL DR</v>
      </c>
      <c r="F523" s="3" t="str">
        <f>CLEAN("N WASHTINGTON ST TO HARDING STREET")</f>
        <v>N WASHTINGTON ST TO HARDING STREET</v>
      </c>
      <c r="G523" s="3" t="str">
        <f>CLEAN("DESIGN - FULL PS&amp;E RECONSTRUCTION")</f>
        <v>DESIGN - FULL PS&amp;E RECONSTRUCTION</v>
      </c>
      <c r="H523" s="2" t="str">
        <f t="shared" si="90"/>
        <v>LOC STR</v>
      </c>
      <c r="I523" s="2" t="str">
        <f t="shared" si="88"/>
        <v>206</v>
      </c>
    </row>
    <row r="524" spans="1:9" x14ac:dyDescent="0.35">
      <c r="A524" s="2" t="str">
        <f t="shared" si="84"/>
        <v>ROCK</v>
      </c>
      <c r="B524" s="2" t="str">
        <f t="shared" si="85"/>
        <v>CITY OF JANESVILLE</v>
      </c>
      <c r="C524" s="2" t="s">
        <v>1113</v>
      </c>
      <c r="D524" s="2" t="str">
        <f>CLEAN("5990-03-71")</f>
        <v>5990-03-71</v>
      </c>
      <c r="E524" s="3" t="str">
        <f>CLEAN("CITY OF JANESVILLE  E MEMORIAL DR")</f>
        <v>CITY OF JANESVILLE  E MEMORIAL DR</v>
      </c>
      <c r="F524" s="3" t="str">
        <f>CLEAN("N WASHINGTON STR TO HARDING STREET")</f>
        <v>N WASHINGTON STR TO HARDING STREET</v>
      </c>
      <c r="G524" s="3" t="str">
        <f>CLEAN("CONSTR OPS/RECONSTUCTION")</f>
        <v>CONSTR OPS/RECONSTUCTION</v>
      </c>
      <c r="H524" s="2" t="str">
        <f t="shared" si="90"/>
        <v>LOC STR</v>
      </c>
      <c r="I524" s="2" t="str">
        <f t="shared" si="88"/>
        <v>206</v>
      </c>
    </row>
    <row r="525" spans="1:9" x14ac:dyDescent="0.35">
      <c r="A525" s="2" t="str">
        <f t="shared" si="84"/>
        <v>ROCK</v>
      </c>
      <c r="B525" s="2" t="str">
        <f t="shared" si="85"/>
        <v>CITY OF JANESVILLE</v>
      </c>
      <c r="C525" s="2" t="s">
        <v>1686</v>
      </c>
      <c r="D525" s="2" t="str">
        <f>CLEAN("5990-03-72")</f>
        <v>5990-03-72</v>
      </c>
      <c r="E525" s="3" t="str">
        <f>CLEAN("CITY OF JANESVILLE  W. COURT STREET")</f>
        <v>CITY OF JANESVILLE  W. COURT STREET</v>
      </c>
      <c r="F525" s="3" t="str">
        <f>CLEAN("USH 51 TO S. RIVER STREET")</f>
        <v>USH 51 TO S. RIVER STREET</v>
      </c>
      <c r="G525" s="3" t="str">
        <f>CLEAN("DESIGN FULL PS&amp;E RECSTE")</f>
        <v>DESIGN FULL PS&amp;E RECSTE</v>
      </c>
      <c r="H525" s="2" t="str">
        <f t="shared" si="90"/>
        <v>LOC STR</v>
      </c>
      <c r="I525" s="2" t="str">
        <f t="shared" si="88"/>
        <v>206</v>
      </c>
    </row>
    <row r="526" spans="1:9" x14ac:dyDescent="0.35">
      <c r="A526" s="2" t="str">
        <f t="shared" ref="A526:A533" si="91">CLEAN("OUTAGAMIE")</f>
        <v>OUTAGAMIE</v>
      </c>
      <c r="B526" s="2" t="str">
        <f t="shared" ref="B526:B533" si="92">CLEAN("CITY OF KAUKAUNA")</f>
        <v>CITY OF KAUKAUNA</v>
      </c>
      <c r="C526" s="2" t="s">
        <v>850</v>
      </c>
      <c r="D526" s="2" t="str">
        <f>CLEAN("1130-66-71")</f>
        <v>1130-66-71</v>
      </c>
      <c r="E526" s="3" t="str">
        <f t="shared" ref="E526:E532" si="93">CLEAN("APPLETON - DE PERE")</f>
        <v>APPLETON - DE PERE</v>
      </c>
      <c r="F526" s="3" t="str">
        <f>CLEAN("I-41 MAINLINE  HOLLAND-CTH N")</f>
        <v>I-41 MAINLINE  HOLLAND-CTH N</v>
      </c>
      <c r="G526" s="3" t="str">
        <f>CLEAN("CONST/RECSTE MAINLINE HOLLAND-CTH N")</f>
        <v>CONST/RECSTE MAINLINE HOLLAND-CTH N</v>
      </c>
      <c r="H526" s="2" t="str">
        <f t="shared" ref="H526:H532" si="94">CLEAN("IH  041")</f>
        <v>IH  041</v>
      </c>
      <c r="I526" s="2" t="str">
        <f t="shared" ref="I526:I532" si="95">CLEAN("302")</f>
        <v>302</v>
      </c>
    </row>
    <row r="527" spans="1:9" x14ac:dyDescent="0.35">
      <c r="A527" s="2" t="str">
        <f t="shared" si="91"/>
        <v>OUTAGAMIE</v>
      </c>
      <c r="B527" s="2" t="str">
        <f t="shared" si="92"/>
        <v>CITY OF KAUKAUNA</v>
      </c>
      <c r="C527" s="2" t="s">
        <v>849</v>
      </c>
      <c r="D527" s="2" t="str">
        <f>CLEAN("1130-66-72")</f>
        <v>1130-66-72</v>
      </c>
      <c r="E527" s="3" t="str">
        <f t="shared" si="93"/>
        <v>APPLETON - DE PERE</v>
      </c>
      <c r="F527" s="3" t="str">
        <f>CLEAN("I-41 MAINLINE  CTH N - CTH JJ")</f>
        <v>I-41 MAINLINE  CTH N - CTH JJ</v>
      </c>
      <c r="G527" s="3" t="str">
        <f>CLEAN("CONST/RECSTE MAINLINE  CTH N-CTH JJ")</f>
        <v>CONST/RECSTE MAINLINE  CTH N-CTH JJ</v>
      </c>
      <c r="H527" s="2" t="str">
        <f t="shared" si="94"/>
        <v>IH  041</v>
      </c>
      <c r="I527" s="2" t="str">
        <f t="shared" si="95"/>
        <v>302</v>
      </c>
    </row>
    <row r="528" spans="1:9" x14ac:dyDescent="0.35">
      <c r="A528" s="2" t="str">
        <f t="shared" si="91"/>
        <v>OUTAGAMIE</v>
      </c>
      <c r="B528" s="2" t="str">
        <f t="shared" si="92"/>
        <v>CITY OF KAUKAUNA</v>
      </c>
      <c r="C528" s="2" t="s">
        <v>868</v>
      </c>
      <c r="D528" s="2" t="str">
        <f>CLEAN("1130-66-77")</f>
        <v>1130-66-77</v>
      </c>
      <c r="E528" s="3" t="str">
        <f t="shared" si="93"/>
        <v>APPLETON - DE PERE</v>
      </c>
      <c r="F528" s="3" t="str">
        <f>CLEAN("STH 55 INTCHG")</f>
        <v>STH 55 INTCHG</v>
      </c>
      <c r="G528" s="3" t="str">
        <f>CLEAN("CONST/RECSTE STH 55 INTCHG")</f>
        <v>CONST/RECSTE STH 55 INTCHG</v>
      </c>
      <c r="H528" s="2" t="str">
        <f t="shared" si="94"/>
        <v>IH  041</v>
      </c>
      <c r="I528" s="2" t="str">
        <f t="shared" si="95"/>
        <v>302</v>
      </c>
    </row>
    <row r="529" spans="1:9" x14ac:dyDescent="0.35">
      <c r="A529" s="2" t="str">
        <f t="shared" si="91"/>
        <v>OUTAGAMIE</v>
      </c>
      <c r="B529" s="2" t="str">
        <f t="shared" si="92"/>
        <v>CITY OF KAUKAUNA</v>
      </c>
      <c r="C529" s="2" t="s">
        <v>846</v>
      </c>
      <c r="D529" s="2" t="str">
        <f>CLEAN("1130-66-78")</f>
        <v>1130-66-78</v>
      </c>
      <c r="E529" s="3" t="str">
        <f t="shared" si="93"/>
        <v>APPLETON - DE PERE</v>
      </c>
      <c r="F529" s="3" t="str">
        <f>CLEAN("CTH J INTERCHANGE")</f>
        <v>CTH J INTERCHANGE</v>
      </c>
      <c r="G529" s="3" t="str">
        <f>CLEAN("CONST/RECSTE CTH J INTERCHANGE")</f>
        <v>CONST/RECSTE CTH J INTERCHANGE</v>
      </c>
      <c r="H529" s="2" t="str">
        <f t="shared" si="94"/>
        <v>IH  041</v>
      </c>
      <c r="I529" s="2" t="str">
        <f t="shared" si="95"/>
        <v>302</v>
      </c>
    </row>
    <row r="530" spans="1:9" x14ac:dyDescent="0.35">
      <c r="A530" s="2" t="str">
        <f t="shared" si="91"/>
        <v>OUTAGAMIE</v>
      </c>
      <c r="B530" s="2" t="str">
        <f t="shared" si="92"/>
        <v>CITY OF KAUKAUNA</v>
      </c>
      <c r="C530" s="2" t="s">
        <v>860</v>
      </c>
      <c r="D530" s="2" t="str">
        <f>CLEAN("1130-66-82")</f>
        <v>1130-66-82</v>
      </c>
      <c r="E530" s="3" t="str">
        <f t="shared" si="93"/>
        <v>APPLETON - DE PERE</v>
      </c>
      <c r="F530" s="3" t="str">
        <f>CLEAN("BUCHANAN ST OVERPASS")</f>
        <v>BUCHANAN ST OVERPASS</v>
      </c>
      <c r="G530" s="3" t="str">
        <f>CLEAN("CONST/RECSTE OVERPASS B440332")</f>
        <v>CONST/RECSTE OVERPASS B440332</v>
      </c>
      <c r="H530" s="2" t="str">
        <f t="shared" si="94"/>
        <v>IH  041</v>
      </c>
      <c r="I530" s="2" t="str">
        <f t="shared" si="95"/>
        <v>302</v>
      </c>
    </row>
    <row r="531" spans="1:9" x14ac:dyDescent="0.35">
      <c r="A531" s="2" t="str">
        <f t="shared" si="91"/>
        <v>OUTAGAMIE</v>
      </c>
      <c r="B531" s="2" t="str">
        <f t="shared" si="92"/>
        <v>CITY OF KAUKAUNA</v>
      </c>
      <c r="C531" s="2" t="s">
        <v>861</v>
      </c>
      <c r="D531" s="2" t="str">
        <f>CLEAN("1130-66-83")</f>
        <v>1130-66-83</v>
      </c>
      <c r="E531" s="3" t="str">
        <f t="shared" si="93"/>
        <v>APPLETON - DE PERE</v>
      </c>
      <c r="F531" s="3" t="str">
        <f>CLEAN("ROSE HILL RD/CTH CC OVERPASS")</f>
        <v>ROSE HILL RD/CTH CC OVERPASS</v>
      </c>
      <c r="G531" s="3" t="str">
        <f>CLEAN("CONST/RECSTE OVERPASS B440333")</f>
        <v>CONST/RECSTE OVERPASS B440333</v>
      </c>
      <c r="H531" s="2" t="str">
        <f t="shared" si="94"/>
        <v>IH  041</v>
      </c>
      <c r="I531" s="2" t="str">
        <f t="shared" si="95"/>
        <v>302</v>
      </c>
    </row>
    <row r="532" spans="1:9" x14ac:dyDescent="0.35">
      <c r="A532" s="2" t="str">
        <f t="shared" si="91"/>
        <v>OUTAGAMIE</v>
      </c>
      <c r="B532" s="2" t="str">
        <f t="shared" si="92"/>
        <v>CITY OF KAUKAUNA</v>
      </c>
      <c r="C532" s="2" t="s">
        <v>853</v>
      </c>
      <c r="D532" s="2" t="str">
        <f>CLEAN("1130-66-84")</f>
        <v>1130-66-84</v>
      </c>
      <c r="E532" s="3" t="str">
        <f t="shared" si="93"/>
        <v>APPLETON - DE PERE</v>
      </c>
      <c r="F532" s="3" t="str">
        <f>CLEAN("MALONEY RD")</f>
        <v>MALONEY RD</v>
      </c>
      <c r="G532" s="3" t="str">
        <f>CLEAN("CONST/RECSTE MALONEY RD")</f>
        <v>CONST/RECSTE MALONEY RD</v>
      </c>
      <c r="H532" s="2" t="str">
        <f t="shared" si="94"/>
        <v>IH  041</v>
      </c>
      <c r="I532" s="2" t="str">
        <f t="shared" si="95"/>
        <v>302</v>
      </c>
    </row>
    <row r="533" spans="1:9" x14ac:dyDescent="0.35">
      <c r="A533" s="2" t="str">
        <f t="shared" si="91"/>
        <v>OUTAGAMIE</v>
      </c>
      <c r="B533" s="2" t="str">
        <f t="shared" si="92"/>
        <v>CITY OF KAUKAUNA</v>
      </c>
      <c r="C533" s="2" t="s">
        <v>2418</v>
      </c>
      <c r="D533" s="2" t="str">
        <f>CLEAN("6498-09-00")</f>
        <v>6498-09-00</v>
      </c>
      <c r="E533" s="3" t="str">
        <f>CLEAN("C KAUKAUNA  KENNETH AVENUE")</f>
        <v>C KAUKAUNA  KENNETH AVENUE</v>
      </c>
      <c r="F533" s="3" t="str">
        <f>CLEAN("W 10TH STREET TO REAUME AVENUE")</f>
        <v>W 10TH STREET TO REAUME AVENUE</v>
      </c>
      <c r="G533" s="3" t="str">
        <f>CLEAN("DSGN/FULL PSE/RECST")</f>
        <v>DSGN/FULL PSE/RECST</v>
      </c>
      <c r="H533" s="2" t="str">
        <f>CLEAN("LOC STR")</f>
        <v>LOC STR</v>
      </c>
      <c r="I533" s="2" t="str">
        <f>CLEAN("206")</f>
        <v>206</v>
      </c>
    </row>
    <row r="534" spans="1:9" x14ac:dyDescent="0.35">
      <c r="A534" s="2" t="str">
        <f t="shared" ref="A534:A551" si="96">CLEAN("KENOSHA")</f>
        <v>KENOSHA</v>
      </c>
      <c r="B534" s="2" t="str">
        <f t="shared" ref="B534:B551" si="97">CLEAN("CITY OF KENOSHA")</f>
        <v>CITY OF KENOSHA</v>
      </c>
      <c r="C534" s="2" t="s">
        <v>2891</v>
      </c>
      <c r="D534" s="2" t="str">
        <f>CLEAN("3831-07-01")</f>
        <v>3831-07-01</v>
      </c>
      <c r="E534" s="3" t="str">
        <f>CLEAN("WASHINGTON ROAD")</f>
        <v>WASHINGTON ROAD</v>
      </c>
      <c r="F534" s="3" t="str">
        <f>CLEAN("INTERSECTION WITH 30TH AVE")</f>
        <v>INTERSECTION WITH 30TH AVE</v>
      </c>
      <c r="G534" s="3" t="str">
        <f>CLEAN("PE/HSIP DESIGN REVIEW ONLY")</f>
        <v>PE/HSIP DESIGN REVIEW ONLY</v>
      </c>
      <c r="H534" s="2" t="str">
        <f>CLEAN("LOC STR")</f>
        <v>LOC STR</v>
      </c>
      <c r="I534" s="2" t="str">
        <f>CLEAN("206")</f>
        <v>206</v>
      </c>
    </row>
    <row r="535" spans="1:9" x14ac:dyDescent="0.35">
      <c r="A535" s="2" t="str">
        <f t="shared" si="96"/>
        <v>KENOSHA</v>
      </c>
      <c r="B535" s="2" t="str">
        <f t="shared" si="97"/>
        <v>CITY OF KENOSHA</v>
      </c>
      <c r="C535" s="2" t="s">
        <v>2889</v>
      </c>
      <c r="D535" s="2" t="str">
        <f>CLEAN("3831-07-02")</f>
        <v>3831-07-02</v>
      </c>
      <c r="E535" s="3" t="str">
        <f>CLEAN("WASHINGTON ROAD")</f>
        <v>WASHINGTON ROAD</v>
      </c>
      <c r="F535" s="3" t="str">
        <f>CLEAN("INTERSECTION WITH 39TH AVE")</f>
        <v>INTERSECTION WITH 39TH AVE</v>
      </c>
      <c r="G535" s="3" t="str">
        <f>CLEAN("PE/HSIP")</f>
        <v>PE/HSIP</v>
      </c>
      <c r="H535" s="2" t="str">
        <f>CLEAN("LOC STR")</f>
        <v>LOC STR</v>
      </c>
      <c r="I535" s="2" t="str">
        <f>CLEAN("206")</f>
        <v>206</v>
      </c>
    </row>
    <row r="536" spans="1:9" x14ac:dyDescent="0.35">
      <c r="A536" s="2" t="str">
        <f t="shared" si="96"/>
        <v>KENOSHA</v>
      </c>
      <c r="B536" s="2" t="str">
        <f t="shared" si="97"/>
        <v>CITY OF KENOSHA</v>
      </c>
      <c r="C536" s="2" t="s">
        <v>2976</v>
      </c>
      <c r="D536" s="2" t="str">
        <f>CLEAN("3832-01-01")</f>
        <v>3832-01-01</v>
      </c>
      <c r="E536" s="3" t="str">
        <f>CLEAN("C KENOSHA  22ND AVE")</f>
        <v>C KENOSHA  22ND AVE</v>
      </c>
      <c r="F536" s="3" t="str">
        <f>CLEAN("50TH ST TO WASHINGTON RD")</f>
        <v>50TH ST TO WASHINGTON RD</v>
      </c>
      <c r="G536" s="3" t="str">
        <f>CLEAN("PE/STATE REVIEW ONLY")</f>
        <v>PE/STATE REVIEW ONLY</v>
      </c>
      <c r="H536" s="2" t="str">
        <f>CLEAN("LOC STR")</f>
        <v>LOC STR</v>
      </c>
      <c r="I536" s="2" t="str">
        <f>CLEAN("206")</f>
        <v>206</v>
      </c>
    </row>
    <row r="537" spans="1:9" x14ac:dyDescent="0.35">
      <c r="A537" s="2" t="str">
        <f t="shared" si="96"/>
        <v>KENOSHA</v>
      </c>
      <c r="B537" s="2" t="str">
        <f t="shared" si="97"/>
        <v>CITY OF KENOSHA</v>
      </c>
      <c r="C537" s="2" t="s">
        <v>3365</v>
      </c>
      <c r="D537" s="2" t="str">
        <f>CLEAN("1693-22-10")</f>
        <v>1693-22-10</v>
      </c>
      <c r="E537" s="3" t="str">
        <f>CLEAN("C KENOSHA BUS PURCHASE")</f>
        <v>C KENOSHA BUS PURCHASE</v>
      </c>
      <c r="F537" s="3" t="str">
        <f>CLEAN("1 BUS")</f>
        <v>1 BUS</v>
      </c>
      <c r="G537" s="3" t="str">
        <f>CLEAN("TRANSIT/TST TO FTA")</f>
        <v>TRANSIT/TST TO FTA</v>
      </c>
      <c r="H537" s="2" t="str">
        <f>CLEAN("NON HWY")</f>
        <v>NON HWY</v>
      </c>
      <c r="I537" s="2" t="str">
        <f>CLEAN("211")</f>
        <v>211</v>
      </c>
    </row>
    <row r="538" spans="1:9" x14ac:dyDescent="0.35">
      <c r="A538" s="2" t="str">
        <f t="shared" si="96"/>
        <v>KENOSHA</v>
      </c>
      <c r="B538" s="2" t="str">
        <f t="shared" si="97"/>
        <v>CITY OF KENOSHA</v>
      </c>
      <c r="C538" s="2" t="s">
        <v>3366</v>
      </c>
      <c r="D538" s="2" t="str">
        <f>CLEAN("1693-22-11")</f>
        <v>1693-22-11</v>
      </c>
      <c r="E538" s="3" t="str">
        <f>CLEAN("C KENOSHA BUS ROUTE EXPANSION")</f>
        <v>C KENOSHA BUS ROUTE EXPANSION</v>
      </c>
      <c r="F538" s="3" t="str">
        <f>CLEAN("CITYWIDE")</f>
        <v>CITYWIDE</v>
      </c>
      <c r="G538" s="3" t="str">
        <f>CLEAN("TRANSIT/TST TO FTA")</f>
        <v>TRANSIT/TST TO FTA</v>
      </c>
      <c r="H538" s="2" t="str">
        <f>CLEAN("NON HWY")</f>
        <v>NON HWY</v>
      </c>
      <c r="I538" s="2" t="str">
        <f>CLEAN("211")</f>
        <v>211</v>
      </c>
    </row>
    <row r="539" spans="1:9" x14ac:dyDescent="0.35">
      <c r="A539" s="2" t="str">
        <f t="shared" si="96"/>
        <v>KENOSHA</v>
      </c>
      <c r="B539" s="2" t="str">
        <f t="shared" si="97"/>
        <v>CITY OF KENOSHA</v>
      </c>
      <c r="C539" s="2" t="s">
        <v>1017</v>
      </c>
      <c r="D539" s="2" t="str">
        <f>CLEAN("2704-03-72")</f>
        <v>2704-03-72</v>
      </c>
      <c r="E539" s="3" t="str">
        <f>CLEAN("C KENOSHA  WASHINGTON RD")</f>
        <v>C KENOSHA  WASHINGTON RD</v>
      </c>
      <c r="F539" s="3" t="str">
        <f>CLEAN("32ND AVE TO CTH S")</f>
        <v>32ND AVE TO CTH S</v>
      </c>
      <c r="G539" s="3" t="str">
        <f>CLEAN("CONST/RSRF20")</f>
        <v>CONST/RSRF20</v>
      </c>
      <c r="H539" s="2" t="str">
        <f>CLEAN("LOC STR")</f>
        <v>LOC STR</v>
      </c>
      <c r="I539" s="2" t="str">
        <f>CLEAN("206")</f>
        <v>206</v>
      </c>
    </row>
    <row r="540" spans="1:9" x14ac:dyDescent="0.35">
      <c r="A540" s="2" t="str">
        <f t="shared" si="96"/>
        <v>KENOSHA</v>
      </c>
      <c r="B540" s="2" t="str">
        <f t="shared" si="97"/>
        <v>CITY OF KENOSHA</v>
      </c>
      <c r="C540" s="2" t="s">
        <v>2707</v>
      </c>
      <c r="D540" s="2" t="str">
        <f>CLEAN("3240-00-04")</f>
        <v>3240-00-04</v>
      </c>
      <c r="E540" s="3" t="str">
        <f>CLEAN("C KENOSHA  SHERIDAN ROAD")</f>
        <v>C KENOSHA  SHERIDAN ROAD</v>
      </c>
      <c r="F540" s="3" t="str">
        <f>CLEAN("75TH ST TO 61ST ST")</f>
        <v>75TH ST TO 61ST ST</v>
      </c>
      <c r="G540" s="3" t="str">
        <f>CLEAN("PE/FULL PS&amp;E ROW/PVRPLA")</f>
        <v>PE/FULL PS&amp;E ROW/PVRPLA</v>
      </c>
      <c r="H540" s="2" t="str">
        <f>CLEAN("STH 032")</f>
        <v>STH 032</v>
      </c>
      <c r="I540" s="2" t="str">
        <f>CLEAN("303")</f>
        <v>303</v>
      </c>
    </row>
    <row r="541" spans="1:9" x14ac:dyDescent="0.35">
      <c r="A541" s="2" t="str">
        <f t="shared" si="96"/>
        <v>KENOSHA</v>
      </c>
      <c r="B541" s="2" t="str">
        <f t="shared" si="97"/>
        <v>CITY OF KENOSHA</v>
      </c>
      <c r="C541" s="2" t="s">
        <v>2767</v>
      </c>
      <c r="D541" s="2" t="str">
        <f>CLEAN("3240-00-06")</f>
        <v>3240-00-06</v>
      </c>
      <c r="E541" s="3" t="str">
        <f>CLEAN("C KENOSHA  ALFORD PARK DR")</f>
        <v>C KENOSHA  ALFORD PARK DR</v>
      </c>
      <c r="F541" s="3" t="str">
        <f>CLEAN("7TH AVE TO 17TH PLACE")</f>
        <v>7TH AVE TO 17TH PLACE</v>
      </c>
      <c r="G541" s="3" t="str">
        <f>CLEAN("PE/FULL PS&amp;E/RESFURFACE")</f>
        <v>PE/FULL PS&amp;E/RESFURFACE</v>
      </c>
      <c r="H541" s="2" t="str">
        <f>CLEAN("STH 032")</f>
        <v>STH 032</v>
      </c>
      <c r="I541" s="2" t="str">
        <f>CLEAN("303")</f>
        <v>303</v>
      </c>
    </row>
    <row r="542" spans="1:9" x14ac:dyDescent="0.35">
      <c r="A542" s="2" t="str">
        <f t="shared" si="96"/>
        <v>KENOSHA</v>
      </c>
      <c r="B542" s="2" t="str">
        <f t="shared" si="97"/>
        <v>CITY OF KENOSHA</v>
      </c>
      <c r="C542" s="2" t="s">
        <v>2747</v>
      </c>
      <c r="D542" s="2" t="str">
        <f>CLEAN("3240-00-07")</f>
        <v>3240-00-07</v>
      </c>
      <c r="E542" s="3" t="str">
        <f>CLEAN("C KENOSHA  SHERIDAN RD")</f>
        <v>C KENOSHA  SHERIDAN RD</v>
      </c>
      <c r="F542" s="3" t="str">
        <f>CLEAN("50TH ST TO 7TH AVE")</f>
        <v>50TH ST TO 7TH AVE</v>
      </c>
      <c r="G542" s="3" t="str">
        <f>CLEAN("PE/FULL PS&amp;E/PAVEMENT REPLACEMENT")</f>
        <v>PE/FULL PS&amp;E/PAVEMENT REPLACEMENT</v>
      </c>
      <c r="H542" s="2" t="str">
        <f>CLEAN("STH 032")</f>
        <v>STH 032</v>
      </c>
      <c r="I542" s="2" t="str">
        <f>CLEAN("303")</f>
        <v>303</v>
      </c>
    </row>
    <row r="543" spans="1:9" x14ac:dyDescent="0.35">
      <c r="A543" s="2" t="str">
        <f t="shared" si="96"/>
        <v>KENOSHA</v>
      </c>
      <c r="B543" s="2" t="str">
        <f t="shared" si="97"/>
        <v>CITY OF KENOSHA</v>
      </c>
      <c r="C543" s="2" t="s">
        <v>2965</v>
      </c>
      <c r="D543" s="2" t="str">
        <f>CLEAN("3240-14-00")</f>
        <v>3240-14-00</v>
      </c>
      <c r="E543" s="3" t="str">
        <f>CLEAN("SHERIDAN ROAD  CITY OF KENOSHA")</f>
        <v>SHERIDAN ROAD  CITY OF KENOSHA</v>
      </c>
      <c r="F543" s="3" t="str">
        <f>CLEAN("91ST STREET TO 85TH STREET")</f>
        <v>91ST STREET TO 85TH STREET</v>
      </c>
      <c r="G543" s="3" t="str">
        <f>CLEAN("PE/RESURFACING")</f>
        <v>PE/RESURFACING</v>
      </c>
      <c r="H543" s="2" t="str">
        <f>CLEAN("STH 032")</f>
        <v>STH 032</v>
      </c>
      <c r="I543" s="2" t="str">
        <f>CLEAN("303")</f>
        <v>303</v>
      </c>
    </row>
    <row r="544" spans="1:9" x14ac:dyDescent="0.35">
      <c r="A544" s="2" t="str">
        <f t="shared" si="96"/>
        <v>KENOSHA</v>
      </c>
      <c r="B544" s="2" t="str">
        <f t="shared" si="97"/>
        <v>CITY OF KENOSHA</v>
      </c>
      <c r="C544" s="2" t="s">
        <v>3349</v>
      </c>
      <c r="D544" s="2" t="str">
        <f>CLEAN("3700-22-00")</f>
        <v>3700-22-00</v>
      </c>
      <c r="E544" s="3" t="str">
        <f>CLEAN("STH 158 &amp; 39TH AVE SIGNAL RETROFIT")</f>
        <v>STH 158 &amp; 39TH AVE SIGNAL RETROFIT</v>
      </c>
      <c r="F544" s="3" t="str">
        <f>CLEAN("STH 158 AND 39TH AVE INTERSECTION")</f>
        <v>STH 158 AND 39TH AVE INTERSECTION</v>
      </c>
      <c r="G544" s="3" t="str">
        <f>CLEAN("STAND ALONE PROJECT ID SER2201L")</f>
        <v>STAND ALONE PROJECT ID SER2201L</v>
      </c>
      <c r="H544" s="2" t="str">
        <f>CLEAN("STH 158")</f>
        <v>STH 158</v>
      </c>
      <c r="I544" s="2" t="str">
        <f>CLEAN("305")</f>
        <v>305</v>
      </c>
    </row>
    <row r="545" spans="1:9" x14ac:dyDescent="0.35">
      <c r="A545" s="2" t="str">
        <f t="shared" si="96"/>
        <v>KENOSHA</v>
      </c>
      <c r="B545" s="2" t="str">
        <f t="shared" si="97"/>
        <v>CITY OF KENOSHA</v>
      </c>
      <c r="C545" s="2" t="s">
        <v>3350</v>
      </c>
      <c r="D545" s="2" t="str">
        <f>CLEAN("3700-22-70")</f>
        <v>3700-22-70</v>
      </c>
      <c r="E545" s="3" t="str">
        <f>CLEAN("STH 158 &amp; 39TH AVE SIGNAL RETROFIT")</f>
        <v>STH 158 &amp; 39TH AVE SIGNAL RETROFIT</v>
      </c>
      <c r="F545" s="3" t="str">
        <f>CLEAN("STH 158 AND 39TH AVE INTERSECTION")</f>
        <v>STH 158 AND 39TH AVE INTERSECTION</v>
      </c>
      <c r="G545" s="3" t="str">
        <f>CLEAN("STAND ALONE PROJECT ID SER2201L")</f>
        <v>STAND ALONE PROJECT ID SER2201L</v>
      </c>
      <c r="H545" s="2" t="str">
        <f>CLEAN("STH 158")</f>
        <v>STH 158</v>
      </c>
      <c r="I545" s="2" t="str">
        <f>CLEAN("305")</f>
        <v>305</v>
      </c>
    </row>
    <row r="546" spans="1:9" x14ac:dyDescent="0.35">
      <c r="A546" s="2" t="str">
        <f t="shared" si="96"/>
        <v>KENOSHA</v>
      </c>
      <c r="B546" s="2" t="str">
        <f t="shared" si="97"/>
        <v>CITY OF KENOSHA</v>
      </c>
      <c r="C546" s="2" t="s">
        <v>2877</v>
      </c>
      <c r="D546" s="2" t="str">
        <f>CLEAN("3831-00-02")</f>
        <v>3831-00-02</v>
      </c>
      <c r="E546" s="3" t="str">
        <f>CLEAN("C KENOSHA  39TH AVE")</f>
        <v>C KENOSHA  39TH AVE</v>
      </c>
      <c r="F546" s="3" t="str">
        <f>CLEAN("60TH ST TO 52ND ST (STH 158)")</f>
        <v>60TH ST TO 52ND ST (STH 158)</v>
      </c>
      <c r="G546" s="3" t="str">
        <f>CLEAN("PE/FULL PSE/RECONSTRUCT")</f>
        <v>PE/FULL PSE/RECONSTRUCT</v>
      </c>
      <c r="H546" s="2" t="str">
        <f t="shared" ref="H546:H551" si="98">CLEAN("LOC STR")</f>
        <v>LOC STR</v>
      </c>
      <c r="I546" s="2" t="str">
        <f t="shared" ref="I546:I551" si="99">CLEAN("206")</f>
        <v>206</v>
      </c>
    </row>
    <row r="547" spans="1:9" x14ac:dyDescent="0.35">
      <c r="A547" s="2" t="str">
        <f t="shared" si="96"/>
        <v>KENOSHA</v>
      </c>
      <c r="B547" s="2" t="str">
        <f t="shared" si="97"/>
        <v>CITY OF KENOSHA</v>
      </c>
      <c r="C547" s="2" t="s">
        <v>757</v>
      </c>
      <c r="D547" s="2" t="str">
        <f>CLEAN("3831-00-72")</f>
        <v>3831-00-72</v>
      </c>
      <c r="E547" s="3" t="str">
        <f>CLEAN("C KENOSHA 39TH AVE")</f>
        <v>C KENOSHA 39TH AVE</v>
      </c>
      <c r="F547" s="3" t="str">
        <f>CLEAN("60TH ST TO 52ND ST (STH 158)")</f>
        <v>60TH ST TO 52ND ST (STH 158)</v>
      </c>
      <c r="G547" s="3" t="str">
        <f>CLEAN("CONST/RECONSTRUCT")</f>
        <v>CONST/RECONSTRUCT</v>
      </c>
      <c r="H547" s="2" t="str">
        <f t="shared" si="98"/>
        <v>LOC STR</v>
      </c>
      <c r="I547" s="2" t="str">
        <f t="shared" si="99"/>
        <v>206</v>
      </c>
    </row>
    <row r="548" spans="1:9" x14ac:dyDescent="0.35">
      <c r="A548" s="2" t="str">
        <f t="shared" si="96"/>
        <v>KENOSHA</v>
      </c>
      <c r="B548" s="2" t="str">
        <f t="shared" si="97"/>
        <v>CITY OF KENOSHA</v>
      </c>
      <c r="C548" s="2" t="s">
        <v>1104</v>
      </c>
      <c r="D548" s="2" t="str">
        <f>CLEAN("3831-00-82")</f>
        <v>3831-00-82</v>
      </c>
      <c r="E548" s="3" t="str">
        <f>CLEAN("C KENOSHA  39TH AVE")</f>
        <v>C KENOSHA  39TH AVE</v>
      </c>
      <c r="F548" s="3" t="str">
        <f>CLEAN("60TH ST TO 52ND ST (STH 158)")</f>
        <v>60TH ST TO 52ND ST (STH 158)</v>
      </c>
      <c r="G548" s="3" t="str">
        <f>CLEAN("CONST/WATERMAIN")</f>
        <v>CONST/WATERMAIN</v>
      </c>
      <c r="H548" s="2" t="str">
        <f t="shared" si="98"/>
        <v>LOC STR</v>
      </c>
      <c r="I548" s="2" t="str">
        <f t="shared" si="99"/>
        <v>206</v>
      </c>
    </row>
    <row r="549" spans="1:9" x14ac:dyDescent="0.35">
      <c r="A549" s="2" t="str">
        <f t="shared" si="96"/>
        <v>KENOSHA</v>
      </c>
      <c r="B549" s="2" t="str">
        <f t="shared" si="97"/>
        <v>CITY OF KENOSHA</v>
      </c>
      <c r="C549" s="2" t="s">
        <v>561</v>
      </c>
      <c r="D549" s="2" t="str">
        <f>CLEAN("3831-07-71")</f>
        <v>3831-07-71</v>
      </c>
      <c r="E549" s="3" t="str">
        <f>CLEAN("C KENOSHA WASHINGTON ROAD")</f>
        <v>C KENOSHA WASHINGTON ROAD</v>
      </c>
      <c r="F549" s="3" t="str">
        <f>CLEAN("INTERSECTION WITH 30TH AVE")</f>
        <v>INTERSECTION WITH 30TH AVE</v>
      </c>
      <c r="G549" s="3" t="str">
        <f>CLEAN("CONST/HSIP")</f>
        <v>CONST/HSIP</v>
      </c>
      <c r="H549" s="2" t="str">
        <f t="shared" si="98"/>
        <v>LOC STR</v>
      </c>
      <c r="I549" s="2" t="str">
        <f t="shared" si="99"/>
        <v>206</v>
      </c>
    </row>
    <row r="550" spans="1:9" x14ac:dyDescent="0.35">
      <c r="A550" s="2" t="str">
        <f t="shared" si="96"/>
        <v>KENOSHA</v>
      </c>
      <c r="B550" s="2" t="str">
        <f t="shared" si="97"/>
        <v>CITY OF KENOSHA</v>
      </c>
      <c r="C550" s="2" t="s">
        <v>562</v>
      </c>
      <c r="D550" s="2" t="str">
        <f>CLEAN("3831-07-72")</f>
        <v>3831-07-72</v>
      </c>
      <c r="E550" s="3" t="str">
        <f>CLEAN("C KENOSHA WASHINGTON ROAD")</f>
        <v>C KENOSHA WASHINGTON ROAD</v>
      </c>
      <c r="F550" s="3" t="str">
        <f>CLEAN("INTERSECTION WITH 39TH AVE")</f>
        <v>INTERSECTION WITH 39TH AVE</v>
      </c>
      <c r="G550" s="3" t="str">
        <f>CLEAN("CONST/HSIP")</f>
        <v>CONST/HSIP</v>
      </c>
      <c r="H550" s="2" t="str">
        <f t="shared" si="98"/>
        <v>LOC STR</v>
      </c>
      <c r="I550" s="2" t="str">
        <f t="shared" si="99"/>
        <v>206</v>
      </c>
    </row>
    <row r="551" spans="1:9" x14ac:dyDescent="0.35">
      <c r="A551" s="2" t="str">
        <f t="shared" si="96"/>
        <v>KENOSHA</v>
      </c>
      <c r="B551" s="2" t="str">
        <f t="shared" si="97"/>
        <v>CITY OF KENOSHA</v>
      </c>
      <c r="C551" s="2" t="s">
        <v>756</v>
      </c>
      <c r="D551" s="2" t="str">
        <f>CLEAN("3832-01-71")</f>
        <v>3832-01-71</v>
      </c>
      <c r="E551" s="3" t="str">
        <f>CLEAN("C KENOSHA  22ND AVE")</f>
        <v>C KENOSHA  22ND AVE</v>
      </c>
      <c r="F551" s="3" t="str">
        <f>CLEAN("50TH ST TO WASHINGTON RD")</f>
        <v>50TH ST TO WASHINGTON RD</v>
      </c>
      <c r="G551" s="3" t="str">
        <f>CLEAN("CONST/RECONSTRUCT")</f>
        <v>CONST/RECONSTRUCT</v>
      </c>
      <c r="H551" s="2" t="str">
        <f t="shared" si="98"/>
        <v>LOC STR</v>
      </c>
      <c r="I551" s="2" t="str">
        <f t="shared" si="99"/>
        <v>206</v>
      </c>
    </row>
    <row r="552" spans="1:9" x14ac:dyDescent="0.35">
      <c r="A552" s="2" t="str">
        <f>CLEAN("KEWAUNEE")</f>
        <v>KEWAUNEE</v>
      </c>
      <c r="B552" s="2" t="str">
        <f>CLEAN("CITY OF KEWAUNEE")</f>
        <v>CITY OF KEWAUNEE</v>
      </c>
      <c r="C552" s="2" t="s">
        <v>2423</v>
      </c>
      <c r="D552" s="2" t="str">
        <f>CLEAN("4125-05-03")</f>
        <v>4125-05-03</v>
      </c>
      <c r="E552" s="3" t="str">
        <f>CLEAN("GREEN BAY - KEWAUNEE")</f>
        <v>GREEN BAY - KEWAUNEE</v>
      </c>
      <c r="F552" s="3" t="str">
        <f>CLEAN("CTH C - DODGE STREET")</f>
        <v>CTH C - DODGE STREET</v>
      </c>
      <c r="G552" s="3" t="str">
        <f>CLEAN("DSGN/FULL PSE/RSRF20")</f>
        <v>DSGN/FULL PSE/RSRF20</v>
      </c>
      <c r="H552" s="2" t="str">
        <f>CLEAN("STH 029")</f>
        <v>STH 029</v>
      </c>
      <c r="I552" s="2" t="str">
        <f>CLEAN("303")</f>
        <v>303</v>
      </c>
    </row>
    <row r="553" spans="1:9" x14ac:dyDescent="0.35">
      <c r="A553" s="2" t="str">
        <f>CLEAN("MANITOWOC")</f>
        <v>MANITOWOC</v>
      </c>
      <c r="B553" s="2" t="str">
        <f>CLEAN("CITY OF KIEL")</f>
        <v>CITY OF KIEL</v>
      </c>
      <c r="C553" s="2" t="s">
        <v>2345</v>
      </c>
      <c r="D553" s="2" t="str">
        <f>CLEAN("4085-71-00")</f>
        <v>4085-71-00</v>
      </c>
      <c r="E553" s="3" t="str">
        <f>CLEAN("WATER-FREEMONT-CALUMET STS  C KIEL")</f>
        <v>WATER-FREEMONT-CALUMET STS  C KIEL</v>
      </c>
      <c r="F553" s="3" t="str">
        <f>CLEAN("STH 67 - CTH AA")</f>
        <v>STH 67 - CTH AA</v>
      </c>
      <c r="G553" s="3" t="str">
        <f>CLEAN("DSGN/FULL PSE/ BRRPL/PVRPLA")</f>
        <v>DSGN/FULL PSE/ BRRPL/PVRPLA</v>
      </c>
      <c r="H553" s="2" t="str">
        <f>CLEAN("STH 032")</f>
        <v>STH 032</v>
      </c>
      <c r="I553" s="2" t="str">
        <f>CLEAN("303")</f>
        <v>303</v>
      </c>
    </row>
    <row r="554" spans="1:9" x14ac:dyDescent="0.35">
      <c r="A554" s="2" t="str">
        <f t="shared" ref="A554:A600" si="100">CLEAN("LA CROSSE")</f>
        <v>LA CROSSE</v>
      </c>
      <c r="B554" s="2" t="str">
        <f t="shared" ref="B554:B600" si="101">CLEAN("CITY OF LA CROSSE")</f>
        <v>CITY OF LA CROSSE</v>
      </c>
      <c r="C554" s="2" t="s">
        <v>2306</v>
      </c>
      <c r="D554" s="2" t="str">
        <f>CLEAN("5120-03-04")</f>
        <v>5120-03-04</v>
      </c>
      <c r="E554" s="3" t="str">
        <f>CLEAN("C LA CROSSE  STATE ROAD")</f>
        <v>C LA CROSSE  STATE ROAD</v>
      </c>
      <c r="F554" s="3" t="str">
        <f>CLEAN("LOSEY BLVD TO EAST CITY LIMIT")</f>
        <v>LOSEY BLVD TO EAST CITY LIMIT</v>
      </c>
      <c r="G554" s="3" t="str">
        <f>CLEAN("DESIGN-FULL PS&amp;E PVRPLA")</f>
        <v>DESIGN-FULL PS&amp;E PVRPLA</v>
      </c>
      <c r="H554" s="2" t="str">
        <f>CLEAN("STH 033")</f>
        <v>STH 033</v>
      </c>
      <c r="I554" s="2" t="str">
        <f>CLEAN("303")</f>
        <v>303</v>
      </c>
    </row>
    <row r="555" spans="1:9" x14ac:dyDescent="0.35">
      <c r="A555" s="2" t="str">
        <f t="shared" si="100"/>
        <v>LA CROSSE</v>
      </c>
      <c r="B555" s="2" t="str">
        <f t="shared" si="101"/>
        <v>CITY OF LA CROSSE</v>
      </c>
      <c r="C555" s="2" t="s">
        <v>1859</v>
      </c>
      <c r="D555" s="2" t="str">
        <f>CLEAN("5220-04-04")</f>
        <v>5220-04-04</v>
      </c>
      <c r="E555" s="3" t="str">
        <f>CLEAN("C LA CROSSE  WEST AVENUE")</f>
        <v>C LA CROSSE  WEST AVENUE</v>
      </c>
      <c r="F555" s="3" t="str">
        <f>CLEAN("KING ST AND BADGER ST INTERSECTIONS")</f>
        <v>KING ST AND BADGER ST INTERSECTIONS</v>
      </c>
      <c r="G555" s="3" t="str">
        <f>CLEAN("DESIGN/CLOSE MEDIAN/ADD CROSSWALKS")</f>
        <v>DESIGN/CLOSE MEDIAN/ADD CROSSWALKS</v>
      </c>
      <c r="H555" s="2" t="str">
        <f>CLEAN("STH 035")</f>
        <v>STH 035</v>
      </c>
      <c r="I555" s="2" t="str">
        <f>CLEAN("303")</f>
        <v>303</v>
      </c>
    </row>
    <row r="556" spans="1:9" x14ac:dyDescent="0.35">
      <c r="A556" s="2" t="str">
        <f t="shared" si="100"/>
        <v>LA CROSSE</v>
      </c>
      <c r="B556" s="2" t="str">
        <f t="shared" si="101"/>
        <v>CITY OF LA CROSSE</v>
      </c>
      <c r="C556" s="2" t="s">
        <v>2050</v>
      </c>
      <c r="D556" s="2" t="str">
        <f>CLEAN("5991-05-18")</f>
        <v>5991-05-18</v>
      </c>
      <c r="E556" s="3" t="str">
        <f>CLEAN("C LA CROSSE  MARKET STREET")</f>
        <v>C LA CROSSE  MARKET STREET</v>
      </c>
      <c r="F556" s="3" t="str">
        <f>CLEAN("14TH STREET TO 19TH STREET")</f>
        <v>14TH STREET TO 19TH STREET</v>
      </c>
      <c r="G556" s="3" t="str">
        <f>CLEAN("DESIGN/PLAN CHECK REVIEW")</f>
        <v>DESIGN/PLAN CHECK REVIEW</v>
      </c>
      <c r="H556" s="2" t="str">
        <f>CLEAN("LOC STR")</f>
        <v>LOC STR</v>
      </c>
      <c r="I556" s="2" t="str">
        <f>CLEAN("206")</f>
        <v>206</v>
      </c>
    </row>
    <row r="557" spans="1:9" x14ac:dyDescent="0.35">
      <c r="A557" s="2" t="str">
        <f t="shared" si="100"/>
        <v>LA CROSSE</v>
      </c>
      <c r="B557" s="2" t="str">
        <f t="shared" si="101"/>
        <v>CITY OF LA CROSSE</v>
      </c>
      <c r="C557" s="2" t="s">
        <v>6</v>
      </c>
      <c r="D557" s="2" t="str">
        <f>CLEAN("5991-07-16")</f>
        <v>5991-07-16</v>
      </c>
      <c r="E557" s="3" t="str">
        <f>CLEAN("C LA CROSSE  BICYCLES AND RACKS")</f>
        <v>C LA CROSSE  BICYCLES AND RACKS</v>
      </c>
      <c r="F557" s="3" t="str">
        <f>CLEAN("VARIOUS LOCATIONS  C LA CROSSE")</f>
        <v>VARIOUS LOCATIONS  C LA CROSSE</v>
      </c>
      <c r="G557" s="3" t="str">
        <f>CLEAN("BICYCLE AND RACK PURCHASES")</f>
        <v>BICYCLE AND RACK PURCHASES</v>
      </c>
      <c r="H557" s="2" t="str">
        <f>CLEAN("NON HWY")</f>
        <v>NON HWY</v>
      </c>
      <c r="I557" s="2" t="str">
        <f>CLEAN("290")</f>
        <v>290</v>
      </c>
    </row>
    <row r="558" spans="1:9" x14ac:dyDescent="0.35">
      <c r="A558" s="2" t="str">
        <f t="shared" si="100"/>
        <v>LA CROSSE</v>
      </c>
      <c r="B558" s="2" t="str">
        <f t="shared" si="101"/>
        <v>CITY OF LA CROSSE</v>
      </c>
      <c r="C558" s="2" t="s">
        <v>51</v>
      </c>
      <c r="D558" s="2" t="str">
        <f>CLEAN("7575-07-03")</f>
        <v>7575-07-03</v>
      </c>
      <c r="E558" s="3" t="str">
        <f>CLEAN("C LA CROSSE  LA CROSSE STREET")</f>
        <v>C LA CROSSE  LA CROSSE STREET</v>
      </c>
      <c r="F558" s="3" t="str">
        <f>CLEAN("OAKLAND ST TO LOSEY BLVD")</f>
        <v>OAKLAND ST TO LOSEY BLVD</v>
      </c>
      <c r="G558" s="3" t="str">
        <f>CLEAN("CONST OPS//PATCH AND OVERLAY")</f>
        <v>CONST OPS//PATCH AND OVERLAY</v>
      </c>
      <c r="H558" s="2" t="str">
        <f>CLEAN("STH 016")</f>
        <v>STH 016</v>
      </c>
      <c r="I558" s="2" t="str">
        <f t="shared" ref="I558:I565" si="102">CLEAN("303")</f>
        <v>303</v>
      </c>
    </row>
    <row r="559" spans="1:9" x14ac:dyDescent="0.35">
      <c r="A559" s="2" t="str">
        <f t="shared" si="100"/>
        <v>LA CROSSE</v>
      </c>
      <c r="B559" s="2" t="str">
        <f t="shared" si="101"/>
        <v>CITY OF LA CROSSE</v>
      </c>
      <c r="C559" s="2" t="s">
        <v>2890</v>
      </c>
      <c r="D559" s="2" t="str">
        <f>CLEAN("1641-02-02")</f>
        <v>1641-02-02</v>
      </c>
      <c r="E559" s="3" t="str">
        <f>CLEAN("C LACROSSE  SOUTH AVENUE")</f>
        <v>C LACROSSE  SOUTH AVENUE</v>
      </c>
      <c r="F559" s="3" t="str">
        <f>CLEAN("GREEN BAY STREET TO WARD AVENUE")</f>
        <v>GREEN BAY STREET TO WARD AVENUE</v>
      </c>
      <c r="G559" s="3" t="str">
        <f>CLEAN("PE/HSIP &amp; GRADE  BASE  SURFACE")</f>
        <v>PE/HSIP &amp; GRADE  BASE  SURFACE</v>
      </c>
      <c r="H559" s="2" t="str">
        <f t="shared" ref="H559:H565" si="103">CLEAN("USH 014")</f>
        <v>USH 014</v>
      </c>
      <c r="I559" s="2" t="str">
        <f t="shared" si="102"/>
        <v>303</v>
      </c>
    </row>
    <row r="560" spans="1:9" x14ac:dyDescent="0.35">
      <c r="A560" s="2" t="str">
        <f t="shared" si="100"/>
        <v>LA CROSSE</v>
      </c>
      <c r="B560" s="2" t="str">
        <f t="shared" si="101"/>
        <v>CITY OF LA CROSSE</v>
      </c>
      <c r="C560" s="2" t="s">
        <v>558</v>
      </c>
      <c r="D560" s="2" t="str">
        <f>CLEAN("1641-02-70")</f>
        <v>1641-02-70</v>
      </c>
      <c r="E560" s="3" t="str">
        <f>CLEAN("C LA CROSSE  SOUTH AVENUE")</f>
        <v>C LA CROSSE  SOUTH AVENUE</v>
      </c>
      <c r="F560" s="3" t="str">
        <f>CLEAN("GREEN BAY ST TO 0.16 MILES EASTERLY")</f>
        <v>GREEN BAY ST TO 0.16 MILES EASTERLY</v>
      </c>
      <c r="G560" s="3" t="str">
        <f>CLEAN("CONST/GRADE-BASE-SURFACE/RECST")</f>
        <v>CONST/GRADE-BASE-SURFACE/RECST</v>
      </c>
      <c r="H560" s="2" t="str">
        <f t="shared" si="103"/>
        <v>USH 014</v>
      </c>
      <c r="I560" s="2" t="str">
        <f t="shared" si="102"/>
        <v>303</v>
      </c>
    </row>
    <row r="561" spans="1:9" x14ac:dyDescent="0.35">
      <c r="A561" s="2" t="str">
        <f t="shared" si="100"/>
        <v>LA CROSSE</v>
      </c>
      <c r="B561" s="2" t="str">
        <f t="shared" si="101"/>
        <v>CITY OF LA CROSSE</v>
      </c>
      <c r="C561" s="2" t="s">
        <v>571</v>
      </c>
      <c r="D561" s="2" t="str">
        <f>CLEAN("1641-02-72")</f>
        <v>1641-02-72</v>
      </c>
      <c r="E561" s="3" t="str">
        <f>CLEAN("C LACROSSE  SOUTH AVENUE")</f>
        <v>C LACROSSE  SOUTH AVENUE</v>
      </c>
      <c r="F561" s="3" t="str">
        <f>CLEAN("GREEN BAY STREET TO WARD AVENUE")</f>
        <v>GREEN BAY STREET TO WARD AVENUE</v>
      </c>
      <c r="G561" s="3" t="str">
        <f>CLEAN("CONST/HSIP/GRADE-BASE-SURFACE/RECST")</f>
        <v>CONST/HSIP/GRADE-BASE-SURFACE/RECST</v>
      </c>
      <c r="H561" s="2" t="str">
        <f t="shared" si="103"/>
        <v>USH 014</v>
      </c>
      <c r="I561" s="2" t="str">
        <f t="shared" si="102"/>
        <v>303</v>
      </c>
    </row>
    <row r="562" spans="1:9" x14ac:dyDescent="0.35">
      <c r="A562" s="2" t="str">
        <f t="shared" si="100"/>
        <v>LA CROSSE</v>
      </c>
      <c r="B562" s="2" t="str">
        <f t="shared" si="101"/>
        <v>CITY OF LA CROSSE</v>
      </c>
      <c r="C562" s="2" t="s">
        <v>1037</v>
      </c>
      <c r="D562" s="2" t="str">
        <f>CLEAN("1641-02-80")</f>
        <v>1641-02-80</v>
      </c>
      <c r="E562" s="3" t="str">
        <f>CLEAN("C LA CROSSE  SOUTH AVENUE")</f>
        <v>C LA CROSSE  SOUTH AVENUE</v>
      </c>
      <c r="F562" s="3" t="str">
        <f>CLEAN("GREEN BAY ST TO 0.16 MILES EASTERLY")</f>
        <v>GREEN BAY ST TO 0.16 MILES EASTERLY</v>
      </c>
      <c r="G562" s="3" t="str">
        <f>CLEAN("CONST/SEWER &amp; WATER/RECST")</f>
        <v>CONST/SEWER &amp; WATER/RECST</v>
      </c>
      <c r="H562" s="2" t="str">
        <f t="shared" si="103"/>
        <v>USH 014</v>
      </c>
      <c r="I562" s="2" t="str">
        <f t="shared" si="102"/>
        <v>303</v>
      </c>
    </row>
    <row r="563" spans="1:9" x14ac:dyDescent="0.35">
      <c r="A563" s="2" t="str">
        <f t="shared" si="100"/>
        <v>LA CROSSE</v>
      </c>
      <c r="B563" s="2" t="str">
        <f t="shared" si="101"/>
        <v>CITY OF LA CROSSE</v>
      </c>
      <c r="C563" s="2" t="s">
        <v>1038</v>
      </c>
      <c r="D563" s="2" t="str">
        <f>CLEAN("1641-02-82")</f>
        <v>1641-02-82</v>
      </c>
      <c r="E563" s="3" t="str">
        <f>CLEAN("C LACROSSE  SOUTH AVENUE")</f>
        <v>C LACROSSE  SOUTH AVENUE</v>
      </c>
      <c r="F563" s="3" t="str">
        <f>CLEAN("GREEN BAY STREET TO WARD AVENUE")</f>
        <v>GREEN BAY STREET TO WARD AVENUE</v>
      </c>
      <c r="G563" s="3" t="str">
        <f>CLEAN("CONST/SEWER &amp; WATER/RECT")</f>
        <v>CONST/SEWER &amp; WATER/RECT</v>
      </c>
      <c r="H563" s="2" t="str">
        <f t="shared" si="103"/>
        <v>USH 014</v>
      </c>
      <c r="I563" s="2" t="str">
        <f t="shared" si="102"/>
        <v>303</v>
      </c>
    </row>
    <row r="564" spans="1:9" x14ac:dyDescent="0.35">
      <c r="A564" s="2" t="str">
        <f t="shared" si="100"/>
        <v>LA CROSSE</v>
      </c>
      <c r="B564" s="2" t="str">
        <f t="shared" si="101"/>
        <v>CITY OF LA CROSSE</v>
      </c>
      <c r="C564" s="2" t="s">
        <v>2030</v>
      </c>
      <c r="D564" s="2" t="str">
        <f>CLEAN("1641-03-04")</f>
        <v>1641-03-04</v>
      </c>
      <c r="E564" s="3" t="str">
        <f>CLEAN("C LA CROSSE  INTERSECTION IMPRVMNTS")</f>
        <v>C LA CROSSE  INTERSECTION IMPRVMNTS</v>
      </c>
      <c r="F564" s="3" t="str">
        <f>CLEAN("VAR INTERS USH 14  STH 16  STH 33")</f>
        <v>VAR INTERS USH 14  STH 16  STH 33</v>
      </c>
      <c r="G564" s="3" t="str">
        <f>CLEAN("DESIGN/LEFT TURN LANES/MONOTUBES")</f>
        <v>DESIGN/LEFT TURN LANES/MONOTUBES</v>
      </c>
      <c r="H564" s="2" t="str">
        <f t="shared" si="103"/>
        <v>USH 014</v>
      </c>
      <c r="I564" s="2" t="str">
        <f t="shared" si="102"/>
        <v>303</v>
      </c>
    </row>
    <row r="565" spans="1:9" x14ac:dyDescent="0.35">
      <c r="A565" s="2" t="str">
        <f t="shared" si="100"/>
        <v>LA CROSSE</v>
      </c>
      <c r="B565" s="2" t="str">
        <f t="shared" si="101"/>
        <v>CITY OF LA CROSSE</v>
      </c>
      <c r="C565" s="2" t="s">
        <v>2496</v>
      </c>
      <c r="D565" s="2" t="str">
        <f>CLEAN("1641-03-07")</f>
        <v>1641-03-07</v>
      </c>
      <c r="E565" s="3" t="str">
        <f>CLEAN("C LA CROSSE  MORMON COULEE ROAD")</f>
        <v>C LA CROSSE  MORMON COULEE ROAD</v>
      </c>
      <c r="F565" s="3" t="str">
        <f>CLEAN("BIRCH STREET INTERSECTION")</f>
        <v>BIRCH STREET INTERSECTION</v>
      </c>
      <c r="G565" s="3" t="str">
        <f>CLEAN("EX- DESIGN - PLAN CHECK REVIEW/MISC")</f>
        <v>EX- DESIGN - PLAN CHECK REVIEW/MISC</v>
      </c>
      <c r="H565" s="2" t="str">
        <f t="shared" si="103"/>
        <v>USH 014</v>
      </c>
      <c r="I565" s="2" t="str">
        <f t="shared" si="102"/>
        <v>303</v>
      </c>
    </row>
    <row r="566" spans="1:9" x14ac:dyDescent="0.35">
      <c r="A566" s="2" t="str">
        <f t="shared" si="100"/>
        <v>LA CROSSE</v>
      </c>
      <c r="B566" s="2" t="str">
        <f t="shared" si="101"/>
        <v>CITY OF LA CROSSE</v>
      </c>
      <c r="C566" s="2" t="s">
        <v>3404</v>
      </c>
      <c r="D566" s="2" t="str">
        <f>CLEAN("3700-10-60")</f>
        <v>3700-10-60</v>
      </c>
      <c r="E566" s="3" t="str">
        <f>CLEAN("CITY OF LA CROSSE")</f>
        <v>CITY OF LA CROSSE</v>
      </c>
      <c r="F566" s="3" t="str">
        <f>CLEAN("VARIOUS HWYS")</f>
        <v>VARIOUS HWYS</v>
      </c>
      <c r="G566" s="3" t="str">
        <f>CLEAN("TRF/ SIGNAL REHAB FY24 /TOSIG")</f>
        <v>TRF/ SIGNAL REHAB FY24 /TOSIG</v>
      </c>
      <c r="H566" s="2" t="str">
        <f>CLEAN("VAR HWY")</f>
        <v>VAR HWY</v>
      </c>
      <c r="I566" s="2" t="str">
        <f t="shared" ref="I566:I573" si="104">CLEAN("305")</f>
        <v>305</v>
      </c>
    </row>
    <row r="567" spans="1:9" x14ac:dyDescent="0.35">
      <c r="A567" s="2" t="str">
        <f t="shared" si="100"/>
        <v>LA CROSSE</v>
      </c>
      <c r="B567" s="2" t="str">
        <f t="shared" si="101"/>
        <v>CITY OF LA CROSSE</v>
      </c>
      <c r="C567" s="2" t="s">
        <v>2572</v>
      </c>
      <c r="D567" s="2" t="str">
        <f>CLEAN("3700-10-64")</f>
        <v>3700-10-64</v>
      </c>
      <c r="E567" s="3" t="str">
        <f>CLEAN("LA CROSSE - SPARTA")</f>
        <v>LA CROSSE - SPARTA</v>
      </c>
      <c r="F567" s="3" t="str">
        <f>CLEAN("LOSEY BLV TO STH 157")</f>
        <v>LOSEY BLV TO STH 157</v>
      </c>
      <c r="G567" s="3" t="str">
        <f>CLEAN("MIS/ SIGNAL REPLACE /TOSIG")</f>
        <v>MIS/ SIGNAL REPLACE /TOSIG</v>
      </c>
      <c r="H567" s="2" t="str">
        <f>CLEAN("STH 016")</f>
        <v>STH 016</v>
      </c>
      <c r="I567" s="2" t="str">
        <f t="shared" si="104"/>
        <v>305</v>
      </c>
    </row>
    <row r="568" spans="1:9" x14ac:dyDescent="0.35">
      <c r="A568" s="2" t="str">
        <f t="shared" si="100"/>
        <v>LA CROSSE</v>
      </c>
      <c r="B568" s="2" t="str">
        <f t="shared" si="101"/>
        <v>CITY OF LA CROSSE</v>
      </c>
      <c r="C568" s="2" t="s">
        <v>3408</v>
      </c>
      <c r="D568" s="2" t="str">
        <f>CLEAN("3700-10-79")</f>
        <v>3700-10-79</v>
      </c>
      <c r="E568" s="3" t="str">
        <f>CLEAN("C LACROSSE  SOUTH AVENUE")</f>
        <v>C LACROSSE  SOUTH AVENUE</v>
      </c>
      <c r="F568" s="3" t="str">
        <f>CLEAN("GREEN BAY ST AND SOUTH AVE")</f>
        <v>GREEN BAY ST AND SOUTH AVE</v>
      </c>
      <c r="G568" s="3" t="str">
        <f>CLEAN("TRF/SIGNAL REHAB/TOSIG")</f>
        <v>TRF/SIGNAL REHAB/TOSIG</v>
      </c>
      <c r="H568" s="2" t="str">
        <f>CLEAN("USH 014")</f>
        <v>USH 014</v>
      </c>
      <c r="I568" s="2" t="str">
        <f t="shared" si="104"/>
        <v>305</v>
      </c>
    </row>
    <row r="569" spans="1:9" x14ac:dyDescent="0.35">
      <c r="A569" s="2" t="str">
        <f t="shared" si="100"/>
        <v>LA CROSSE</v>
      </c>
      <c r="B569" s="2" t="str">
        <f t="shared" si="101"/>
        <v>CITY OF LA CROSSE</v>
      </c>
      <c r="C569" s="2" t="s">
        <v>3409</v>
      </c>
      <c r="D569" s="2" t="str">
        <f>CLEAN("3700-10-89")</f>
        <v>3700-10-89</v>
      </c>
      <c r="E569" s="3" t="str">
        <f>CLEAN("CITY OF LACROSSE")</f>
        <v>CITY OF LACROSSE</v>
      </c>
      <c r="F569" s="3" t="str">
        <f>CLEAN("VARIOUS HWYS/INTERSECTIONS")</f>
        <v>VARIOUS HWYS/INTERSECTIONS</v>
      </c>
      <c r="G569" s="3" t="str">
        <f>CLEAN("TRF/SIGNAL RETROFIT CABINET REPLACE")</f>
        <v>TRF/SIGNAL RETROFIT CABINET REPLACE</v>
      </c>
      <c r="H569" s="2" t="str">
        <f>CLEAN("VAR HWY")</f>
        <v>VAR HWY</v>
      </c>
      <c r="I569" s="2" t="str">
        <f t="shared" si="104"/>
        <v>305</v>
      </c>
    </row>
    <row r="570" spans="1:9" x14ac:dyDescent="0.35">
      <c r="A570" s="2" t="str">
        <f t="shared" si="100"/>
        <v>LA CROSSE</v>
      </c>
      <c r="B570" s="2" t="str">
        <f t="shared" si="101"/>
        <v>CITY OF LA CROSSE</v>
      </c>
      <c r="C570" s="2" t="s">
        <v>3376</v>
      </c>
      <c r="D570" s="2" t="str">
        <f>CLEAN("3700-11-60")</f>
        <v>3700-11-60</v>
      </c>
      <c r="E570" s="3" t="str">
        <f>CLEAN("CITY OF LA CROSSE")</f>
        <v>CITY OF LA CROSSE</v>
      </c>
      <c r="F570" s="3" t="str">
        <f>CLEAN("VARIOUS HWYS/INTERSECTIONS")</f>
        <v>VARIOUS HWYS/INTERSECTIONS</v>
      </c>
      <c r="G570" s="3" t="str">
        <f>CLEAN("TRF OPS/SIGNAL REHAB GRIDSMART")</f>
        <v>TRF OPS/SIGNAL REHAB GRIDSMART</v>
      </c>
      <c r="H570" s="2" t="str">
        <f>CLEAN("VAR HWY")</f>
        <v>VAR HWY</v>
      </c>
      <c r="I570" s="2" t="str">
        <f t="shared" si="104"/>
        <v>305</v>
      </c>
    </row>
    <row r="571" spans="1:9" x14ac:dyDescent="0.35">
      <c r="A571" s="2" t="str">
        <f t="shared" si="100"/>
        <v>LA CROSSE</v>
      </c>
      <c r="B571" s="2" t="str">
        <f t="shared" si="101"/>
        <v>CITY OF LA CROSSE</v>
      </c>
      <c r="C571" s="2" t="s">
        <v>3377</v>
      </c>
      <c r="D571" s="2" t="str">
        <f>CLEAN("3700-11-64")</f>
        <v>3700-11-64</v>
      </c>
      <c r="E571" s="3" t="str">
        <f>CLEAN("CITY OF LA CROSSE")</f>
        <v>CITY OF LA CROSSE</v>
      </c>
      <c r="F571" s="3" t="str">
        <f>CLEAN("LOSEY BLVD &amp; MORMON COULEE RD")</f>
        <v>LOSEY BLVD &amp; MORMON COULEE RD</v>
      </c>
      <c r="G571" s="3" t="str">
        <f>CLEAN("TRF OPS/SIGNAL REHAB/TOSIG")</f>
        <v>TRF OPS/SIGNAL REHAB/TOSIG</v>
      </c>
      <c r="H571" s="2" t="str">
        <f>CLEAN("USH 014")</f>
        <v>USH 014</v>
      </c>
      <c r="I571" s="2" t="str">
        <f t="shared" si="104"/>
        <v>305</v>
      </c>
    </row>
    <row r="572" spans="1:9" x14ac:dyDescent="0.35">
      <c r="A572" s="2" t="str">
        <f t="shared" si="100"/>
        <v>LA CROSSE</v>
      </c>
      <c r="B572" s="2" t="str">
        <f t="shared" si="101"/>
        <v>CITY OF LA CROSSE</v>
      </c>
      <c r="C572" s="2" t="s">
        <v>3379</v>
      </c>
      <c r="D572" s="2" t="str">
        <f>CLEAN("3700-11-65")</f>
        <v>3700-11-65</v>
      </c>
      <c r="E572" s="3" t="str">
        <f>CLEAN("CITY OF LA CROSSE")</f>
        <v>CITY OF LA CROSSE</v>
      </c>
      <c r="F572" s="3" t="str">
        <f>CLEAN("VARIOUS HWYS/INTERSECTIONS")</f>
        <v>VARIOUS HWYS/INTERSECTIONS</v>
      </c>
      <c r="G572" s="3" t="str">
        <f>CLEAN("TRF OPS/SIGNAL RETROFIT/TOSIG")</f>
        <v>TRF OPS/SIGNAL RETROFIT/TOSIG</v>
      </c>
      <c r="H572" s="2" t="str">
        <f>CLEAN("VAR HWY")</f>
        <v>VAR HWY</v>
      </c>
      <c r="I572" s="2" t="str">
        <f t="shared" si="104"/>
        <v>305</v>
      </c>
    </row>
    <row r="573" spans="1:9" x14ac:dyDescent="0.35">
      <c r="A573" s="2" t="str">
        <f t="shared" si="100"/>
        <v>LA CROSSE</v>
      </c>
      <c r="B573" s="2" t="str">
        <f t="shared" si="101"/>
        <v>CITY OF LA CROSSE</v>
      </c>
      <c r="C573" s="2" t="s">
        <v>3378</v>
      </c>
      <c r="D573" s="2" t="str">
        <f>CLEAN("3700-11-66")</f>
        <v>3700-11-66</v>
      </c>
      <c r="E573" s="3" t="str">
        <f>CLEAN("CITY OF LA CROSSE")</f>
        <v>CITY OF LA CROSSE</v>
      </c>
      <c r="F573" s="3" t="str">
        <f>CLEAN("VARIOUS HWYS/INTERSECTIONS")</f>
        <v>VARIOUS HWYS/INTERSECTIONS</v>
      </c>
      <c r="G573" s="3" t="str">
        <f>CLEAN("TRF OPS/SIGNAL REHABILITATION/TOSIG")</f>
        <v>TRF OPS/SIGNAL REHABILITATION/TOSIG</v>
      </c>
      <c r="H573" s="2" t="str">
        <f>CLEAN("VAR HWY")</f>
        <v>VAR HWY</v>
      </c>
      <c r="I573" s="2" t="str">
        <f t="shared" si="104"/>
        <v>305</v>
      </c>
    </row>
    <row r="574" spans="1:9" x14ac:dyDescent="0.35">
      <c r="A574" s="2" t="str">
        <f t="shared" si="100"/>
        <v>LA CROSSE</v>
      </c>
      <c r="B574" s="2" t="str">
        <f t="shared" si="101"/>
        <v>CITY OF LA CROSSE</v>
      </c>
      <c r="C574" s="2" t="s">
        <v>33</v>
      </c>
      <c r="D574" s="2" t="str">
        <f>CLEAN("5120-02-70")</f>
        <v>5120-02-70</v>
      </c>
      <c r="E574" s="3" t="str">
        <f>CLEAN("C LA CROSSE  INTERSECTION IMPRVMNTS")</f>
        <v>C LA CROSSE  INTERSECTION IMPRVMNTS</v>
      </c>
      <c r="F574" s="3" t="str">
        <f>CLEAN("JACKSON ST/STH 35/WEST AVE INTER")</f>
        <v>JACKSON ST/STH 35/WEST AVE INTER</v>
      </c>
      <c r="G574" s="3" t="str">
        <f>CLEAN("CONS/LEFT TURN LANES/MONOTUBES/MISC")</f>
        <v>CONS/LEFT TURN LANES/MONOTUBES/MISC</v>
      </c>
      <c r="H574" s="2" t="str">
        <f>CLEAN("STH 033")</f>
        <v>STH 033</v>
      </c>
      <c r="I574" s="2" t="str">
        <f>CLEAN("303")</f>
        <v>303</v>
      </c>
    </row>
    <row r="575" spans="1:9" x14ac:dyDescent="0.35">
      <c r="A575" s="2" t="str">
        <f t="shared" si="100"/>
        <v>LA CROSSE</v>
      </c>
      <c r="B575" s="2" t="str">
        <f t="shared" si="101"/>
        <v>CITY OF LA CROSSE</v>
      </c>
      <c r="C575" s="2" t="s">
        <v>748</v>
      </c>
      <c r="D575" s="2" t="str">
        <f>CLEAN("5163-07-77")</f>
        <v>5163-07-77</v>
      </c>
      <c r="E575" s="3" t="str">
        <f>CLEAN("GENOA - LACROSSE")</f>
        <v>GENOA - LACROSSE</v>
      </c>
      <c r="F575" s="3" t="str">
        <f>CLEAN("SUNNYSIDE DR TO GARNER PLACE")</f>
        <v>SUNNYSIDE DR TO GARNER PLACE</v>
      </c>
      <c r="G575" s="3" t="str">
        <f>CLEAN("CONST/RECONFIGURE INTERSECTN/RECST")</f>
        <v>CONST/RECONFIGURE INTERSECTN/RECST</v>
      </c>
      <c r="H575" s="2" t="str">
        <f>CLEAN("STH 035")</f>
        <v>STH 035</v>
      </c>
      <c r="I575" s="2" t="str">
        <f>CLEAN("303")</f>
        <v>303</v>
      </c>
    </row>
    <row r="576" spans="1:9" x14ac:dyDescent="0.35">
      <c r="A576" s="2" t="str">
        <f t="shared" si="100"/>
        <v>LA CROSSE</v>
      </c>
      <c r="B576" s="2" t="str">
        <f t="shared" si="101"/>
        <v>CITY OF LA CROSSE</v>
      </c>
      <c r="C576" s="2" t="s">
        <v>31</v>
      </c>
      <c r="D576" s="2" t="str">
        <f>CLEAN("5220-04-74")</f>
        <v>5220-04-74</v>
      </c>
      <c r="E576" s="3" t="str">
        <f>CLEAN("C LA CROSSE  WEST AVENUE")</f>
        <v>C LA CROSSE  WEST AVENUE</v>
      </c>
      <c r="F576" s="3" t="str">
        <f>CLEAN("KING ST AND BADGER ST INTERSECTIONS")</f>
        <v>KING ST AND BADGER ST INTERSECTIONS</v>
      </c>
      <c r="G576" s="3" t="str">
        <f>CLEAN("CONS/CLOSE MEDIAN/ADD CROSSWLK/MISC")</f>
        <v>CONS/CLOSE MEDIAN/ADD CROSSWLK/MISC</v>
      </c>
      <c r="H576" s="2" t="str">
        <f>CLEAN("STH 035")</f>
        <v>STH 035</v>
      </c>
      <c r="I576" s="2" t="str">
        <f>CLEAN("303")</f>
        <v>303</v>
      </c>
    </row>
    <row r="577" spans="1:9" x14ac:dyDescent="0.35">
      <c r="A577" s="2" t="str">
        <f t="shared" si="100"/>
        <v>LA CROSSE</v>
      </c>
      <c r="B577" s="2" t="str">
        <f t="shared" si="101"/>
        <v>CITY OF LA CROSSE</v>
      </c>
      <c r="C577" s="2" t="s">
        <v>2927</v>
      </c>
      <c r="D577" s="2" t="str">
        <f>CLEAN("5991-07-33")</f>
        <v>5991-07-33</v>
      </c>
      <c r="E577" s="3" t="str">
        <f>CLEAN("C OF LA CROSSE  VIP TRAIL EXPANSION")</f>
        <v>C OF LA CROSSE  VIP TRAIL EXPANSION</v>
      </c>
      <c r="F577" s="3" t="str">
        <f>CLEAN("7TH STREET SOUTH TO MAPLE STREET")</f>
        <v>7TH STREET SOUTH TO MAPLE STREET</v>
      </c>
      <c r="G577" s="3" t="str">
        <f>CLEAN("PE/PL CHECK/EXPAND BIKE/PED TRAIL")</f>
        <v>PE/PL CHECK/EXPAND BIKE/PED TRAIL</v>
      </c>
      <c r="H577" s="2" t="str">
        <f>CLEAN("NON HWY")</f>
        <v>NON HWY</v>
      </c>
      <c r="I577" s="2" t="str">
        <f>CLEAN("290")</f>
        <v>290</v>
      </c>
    </row>
    <row r="578" spans="1:9" x14ac:dyDescent="0.35">
      <c r="A578" s="2" t="str">
        <f t="shared" si="100"/>
        <v>LA CROSSE</v>
      </c>
      <c r="B578" s="2" t="str">
        <f t="shared" si="101"/>
        <v>CITY OF LA CROSSE</v>
      </c>
      <c r="C578" s="2" t="s">
        <v>2259</v>
      </c>
      <c r="D578" s="2" t="str">
        <f>CLEAN("5991-07-36")</f>
        <v>5991-07-36</v>
      </c>
      <c r="E578" s="3" t="str">
        <f>CLEAN("C OF LA CROSSE  GREEN BAY STREET")</f>
        <v>C OF LA CROSSE  GREEN BAY STREET</v>
      </c>
      <c r="F578" s="3" t="str">
        <f>CLEAN("EAST AVENUE TO S 22ND STREET")</f>
        <v>EAST AVENUE TO S 22ND STREET</v>
      </c>
      <c r="G578" s="3" t="str">
        <f>CLEAN("DESIGN/RECONSTRUCTION")</f>
        <v>DESIGN/RECONSTRUCTION</v>
      </c>
      <c r="H578" s="2" t="str">
        <f t="shared" ref="H578:H585" si="105">CLEAN("LOC STR")</f>
        <v>LOC STR</v>
      </c>
      <c r="I578" s="2" t="str">
        <f t="shared" ref="I578:I585" si="106">CLEAN("206")</f>
        <v>206</v>
      </c>
    </row>
    <row r="579" spans="1:9" x14ac:dyDescent="0.35">
      <c r="A579" s="2" t="str">
        <f t="shared" si="100"/>
        <v>LA CROSSE</v>
      </c>
      <c r="B579" s="2" t="str">
        <f t="shared" si="101"/>
        <v>CITY OF LA CROSSE</v>
      </c>
      <c r="C579" s="2" t="s">
        <v>212</v>
      </c>
      <c r="D579" s="2" t="str">
        <f>CLEAN("5991-07-38")</f>
        <v>5991-07-38</v>
      </c>
      <c r="E579" s="3" t="str">
        <f>CLEAN("C OF LA CROSSE  GREEN BAY STREET")</f>
        <v>C OF LA CROSSE  GREEN BAY STREET</v>
      </c>
      <c r="F579" s="3" t="str">
        <f>CLEAN("EAST AVENUE TO S 22ND STREET")</f>
        <v>EAST AVENUE TO S 22ND STREET</v>
      </c>
      <c r="G579" s="3" t="str">
        <f>CLEAN("CONST OPS/PUBLIC UTILITIES")</f>
        <v>CONST OPS/PUBLIC UTILITIES</v>
      </c>
      <c r="H579" s="2" t="str">
        <f t="shared" si="105"/>
        <v>LOC STR</v>
      </c>
      <c r="I579" s="2" t="str">
        <f t="shared" si="106"/>
        <v>206</v>
      </c>
    </row>
    <row r="580" spans="1:9" x14ac:dyDescent="0.35">
      <c r="A580" s="2" t="str">
        <f t="shared" si="100"/>
        <v>LA CROSSE</v>
      </c>
      <c r="B580" s="2" t="str">
        <f t="shared" si="101"/>
        <v>CITY OF LA CROSSE</v>
      </c>
      <c r="C580" s="2" t="s">
        <v>2258</v>
      </c>
      <c r="D580" s="2" t="str">
        <f>CLEAN("5991-07-42")</f>
        <v>5991-07-42</v>
      </c>
      <c r="E580" s="3" t="str">
        <f>CLEAN("C OF LA CROSSE  GILLETTE STREET")</f>
        <v>C OF LA CROSSE  GILLETTE STREET</v>
      </c>
      <c r="F580" s="3" t="str">
        <f>CLEAN("CALEDONIA ST TO GEORGE ST (STH35)")</f>
        <v>CALEDONIA ST TO GEORGE ST (STH35)</v>
      </c>
      <c r="G580" s="3" t="str">
        <f>CLEAN("DESIGN/RECONSTRUCTION")</f>
        <v>DESIGN/RECONSTRUCTION</v>
      </c>
      <c r="H580" s="2" t="str">
        <f t="shared" si="105"/>
        <v>LOC STR</v>
      </c>
      <c r="I580" s="2" t="str">
        <f t="shared" si="106"/>
        <v>206</v>
      </c>
    </row>
    <row r="581" spans="1:9" x14ac:dyDescent="0.35">
      <c r="A581" s="2" t="str">
        <f t="shared" si="100"/>
        <v>LA CROSSE</v>
      </c>
      <c r="B581" s="2" t="str">
        <f t="shared" si="101"/>
        <v>CITY OF LA CROSSE</v>
      </c>
      <c r="C581" s="2" t="s">
        <v>211</v>
      </c>
      <c r="D581" s="2" t="str">
        <f>CLEAN("5991-07-44")</f>
        <v>5991-07-44</v>
      </c>
      <c r="E581" s="3" t="str">
        <f>CLEAN("C OF LA CROSSE  GILLETTE STREET")</f>
        <v>C OF LA CROSSE  GILLETTE STREET</v>
      </c>
      <c r="F581" s="3" t="str">
        <f>CLEAN("CALEDONIA ST TO GEORGE ST (STH35)")</f>
        <v>CALEDONIA ST TO GEORGE ST (STH35)</v>
      </c>
      <c r="G581" s="3" t="str">
        <f>CLEAN("CONST OPS/PUBLIC UTILITIES")</f>
        <v>CONST OPS/PUBLIC UTILITIES</v>
      </c>
      <c r="H581" s="2" t="str">
        <f t="shared" si="105"/>
        <v>LOC STR</v>
      </c>
      <c r="I581" s="2" t="str">
        <f t="shared" si="106"/>
        <v>206</v>
      </c>
    </row>
    <row r="582" spans="1:9" x14ac:dyDescent="0.35">
      <c r="A582" s="2" t="str">
        <f t="shared" si="100"/>
        <v>LA CROSSE</v>
      </c>
      <c r="B582" s="2" t="str">
        <f t="shared" si="101"/>
        <v>CITY OF LA CROSSE</v>
      </c>
      <c r="C582" s="2" t="s">
        <v>2112</v>
      </c>
      <c r="D582" s="2" t="str">
        <f>CLEAN("5991-07-50")</f>
        <v>5991-07-50</v>
      </c>
      <c r="E582" s="3" t="str">
        <f>CLEAN("C LA CROSSE  2ND ST CYCLE TRACK")</f>
        <v>C LA CROSSE  2ND ST CYCLE TRACK</v>
      </c>
      <c r="F582" s="3" t="str">
        <f>CLEAN("MARKET STREET TO LA CROSSE STREET")</f>
        <v>MARKET STREET TO LA CROSSE STREET</v>
      </c>
      <c r="G582" s="3" t="str">
        <f>CLEAN("DESIGN/PLAN CHECK REVIEW/CYCLETRACK")</f>
        <v>DESIGN/PLAN CHECK REVIEW/CYCLETRACK</v>
      </c>
      <c r="H582" s="2" t="str">
        <f t="shared" si="105"/>
        <v>LOC STR</v>
      </c>
      <c r="I582" s="2" t="str">
        <f t="shared" si="106"/>
        <v>206</v>
      </c>
    </row>
    <row r="583" spans="1:9" x14ac:dyDescent="0.35">
      <c r="A583" s="2" t="str">
        <f t="shared" si="100"/>
        <v>LA CROSSE</v>
      </c>
      <c r="B583" s="2" t="str">
        <f t="shared" si="101"/>
        <v>CITY OF LA CROSSE</v>
      </c>
      <c r="C583" s="2" t="s">
        <v>2178</v>
      </c>
      <c r="D583" s="2" t="str">
        <f>CLEAN("5991-07-60")</f>
        <v>5991-07-60</v>
      </c>
      <c r="E583" s="3" t="str">
        <f>CLEAN("CITY OF LA CROSSE  6TH STREET")</f>
        <v>CITY OF LA CROSSE  6TH STREET</v>
      </c>
      <c r="F583" s="3" t="str">
        <f>CLEAN("CASS STREET TO STATE STREET")</f>
        <v>CASS STREET TO STATE STREET</v>
      </c>
      <c r="G583" s="3" t="str">
        <f>CLEAN("DESIGN/PLAN CHECK REVIEW/RECST")</f>
        <v>DESIGN/PLAN CHECK REVIEW/RECST</v>
      </c>
      <c r="H583" s="2" t="str">
        <f t="shared" si="105"/>
        <v>LOC STR</v>
      </c>
      <c r="I583" s="2" t="str">
        <f t="shared" si="106"/>
        <v>206</v>
      </c>
    </row>
    <row r="584" spans="1:9" x14ac:dyDescent="0.35">
      <c r="A584" s="2" t="str">
        <f t="shared" si="100"/>
        <v>LA CROSSE</v>
      </c>
      <c r="B584" s="2" t="str">
        <f t="shared" si="101"/>
        <v>CITY OF LA CROSSE</v>
      </c>
      <c r="C584" s="2" t="s">
        <v>237</v>
      </c>
      <c r="D584" s="2" t="str">
        <f>CLEAN("5991-07-61")</f>
        <v>5991-07-61</v>
      </c>
      <c r="E584" s="3" t="str">
        <f>CLEAN("CITY OF LA CROSSE  6TH STREET")</f>
        <v>CITY OF LA CROSSE  6TH STREET</v>
      </c>
      <c r="F584" s="3" t="str">
        <f>CLEAN("CASS STREET TO STATE STREET")</f>
        <v>CASS STREET TO STATE STREET</v>
      </c>
      <c r="G584" s="3" t="str">
        <f>CLEAN("CONST OPS/RECONSTRUCTION")</f>
        <v>CONST OPS/RECONSTRUCTION</v>
      </c>
      <c r="H584" s="2" t="str">
        <f t="shared" si="105"/>
        <v>LOC STR</v>
      </c>
      <c r="I584" s="2" t="str">
        <f t="shared" si="106"/>
        <v>206</v>
      </c>
    </row>
    <row r="585" spans="1:9" x14ac:dyDescent="0.35">
      <c r="A585" s="2" t="str">
        <f t="shared" si="100"/>
        <v>LA CROSSE</v>
      </c>
      <c r="B585" s="2" t="str">
        <f t="shared" si="101"/>
        <v>CITY OF LA CROSSE</v>
      </c>
      <c r="C585" s="2" t="s">
        <v>3418</v>
      </c>
      <c r="D585" s="2" t="str">
        <f>CLEAN("5991-07-62")</f>
        <v>5991-07-62</v>
      </c>
      <c r="E585" s="3" t="str">
        <f>CLEAN("CITY OF LA CROSSE  6TH STREET")</f>
        <v>CITY OF LA CROSSE  6TH STREET</v>
      </c>
      <c r="F585" s="3" t="str">
        <f>CLEAN("CASS STREET TO STATE STREET")</f>
        <v>CASS STREET TO STATE STREET</v>
      </c>
      <c r="G585" s="3" t="str">
        <f>CLEAN("UTL OPS/SANITARY SEWER - WATER MAIN")</f>
        <v>UTL OPS/SANITARY SEWER - WATER MAIN</v>
      </c>
      <c r="H585" s="2" t="str">
        <f t="shared" si="105"/>
        <v>LOC STR</v>
      </c>
      <c r="I585" s="2" t="str">
        <f t="shared" si="106"/>
        <v>206</v>
      </c>
    </row>
    <row r="586" spans="1:9" x14ac:dyDescent="0.35">
      <c r="A586" s="2" t="str">
        <f t="shared" si="100"/>
        <v>LA CROSSE</v>
      </c>
      <c r="B586" s="2" t="str">
        <f t="shared" si="101"/>
        <v>CITY OF LA CROSSE</v>
      </c>
      <c r="C586" s="2" t="s">
        <v>2924</v>
      </c>
      <c r="D586" s="2" t="str">
        <f>CLEAN("5991-07-65")</f>
        <v>5991-07-65</v>
      </c>
      <c r="E586" s="3" t="str">
        <f>CLEAN("C LA CROSSE  GRAND CROSSING TRAIL")</f>
        <v>C LA CROSSE  GRAND CROSSING TRAIL</v>
      </c>
      <c r="F586" s="3" t="str">
        <f>CLEAN("MYRICK PARK DR TO SAINT JAMES ST")</f>
        <v>MYRICK PARK DR TO SAINT JAMES ST</v>
      </c>
      <c r="G586" s="3" t="str">
        <f>CLEAN("PE/PL CHECK PEDESTRAIN PATH")</f>
        <v>PE/PL CHECK PEDESTRAIN PATH</v>
      </c>
      <c r="H586" s="2" t="str">
        <f>CLEAN("NON HWY")</f>
        <v>NON HWY</v>
      </c>
      <c r="I586" s="2" t="str">
        <f>CLEAN("290")</f>
        <v>290</v>
      </c>
    </row>
    <row r="587" spans="1:9" x14ac:dyDescent="0.35">
      <c r="A587" s="2" t="str">
        <f t="shared" si="100"/>
        <v>LA CROSSE</v>
      </c>
      <c r="B587" s="2" t="str">
        <f t="shared" si="101"/>
        <v>CITY OF LA CROSSE</v>
      </c>
      <c r="C587" s="2" t="s">
        <v>3035</v>
      </c>
      <c r="D587" s="2" t="str">
        <f>CLEAN("5991-07-66")</f>
        <v>5991-07-66</v>
      </c>
      <c r="E587" s="3" t="str">
        <f>CLEAN("C LA CROSSE  GRAND CROSSING TRAIL")</f>
        <v>C LA CROSSE  GRAND CROSSING TRAIL</v>
      </c>
      <c r="F587" s="3" t="str">
        <f>CLEAN("MYRICK PARK DR TO SAINT JAMES ST")</f>
        <v>MYRICK PARK DR TO SAINT JAMES ST</v>
      </c>
      <c r="G587" s="3" t="str">
        <f>CLEAN("PEDESTRAIN/BICYLCE MULTI-USE TRAIL")</f>
        <v>PEDESTRAIN/BICYLCE MULTI-USE TRAIL</v>
      </c>
      <c r="H587" s="2" t="str">
        <f>CLEAN("NON HWY")</f>
        <v>NON HWY</v>
      </c>
      <c r="I587" s="2" t="str">
        <f>CLEAN("290")</f>
        <v>290</v>
      </c>
    </row>
    <row r="588" spans="1:9" x14ac:dyDescent="0.35">
      <c r="A588" s="2" t="str">
        <f t="shared" si="100"/>
        <v>LA CROSSE</v>
      </c>
      <c r="B588" s="2" t="str">
        <f t="shared" si="101"/>
        <v>CITY OF LA CROSSE</v>
      </c>
      <c r="C588" s="2" t="s">
        <v>2212</v>
      </c>
      <c r="D588" s="2" t="str">
        <f>CLEAN("5991-07-67")</f>
        <v>5991-07-67</v>
      </c>
      <c r="E588" s="3" t="str">
        <f>CLEAN("CITY OF LA CROSSE  MONITOR STREET")</f>
        <v>CITY OF LA CROSSE  MONITOR STREET</v>
      </c>
      <c r="F588" s="3" t="str">
        <f>CLEAN("ROSE STREET TO LANG DRIVE")</f>
        <v>ROSE STREET TO LANG DRIVE</v>
      </c>
      <c r="G588" s="3" t="str">
        <f>CLEAN("DESIGN/PLAN CHECK REVIEW/RECST")</f>
        <v>DESIGN/PLAN CHECK REVIEW/RECST</v>
      </c>
      <c r="H588" s="2" t="str">
        <f>CLEAN("LOC STR")</f>
        <v>LOC STR</v>
      </c>
      <c r="I588" s="2" t="str">
        <f>CLEAN("206")</f>
        <v>206</v>
      </c>
    </row>
    <row r="589" spans="1:9" x14ac:dyDescent="0.35">
      <c r="A589" s="2" t="str">
        <f t="shared" si="100"/>
        <v>LA CROSSE</v>
      </c>
      <c r="B589" s="2" t="str">
        <f t="shared" si="101"/>
        <v>CITY OF LA CROSSE</v>
      </c>
      <c r="C589" s="2" t="s">
        <v>2923</v>
      </c>
      <c r="D589" s="2" t="str">
        <f>CLEAN("5991-07-72")</f>
        <v>5991-07-72</v>
      </c>
      <c r="E589" s="3" t="str">
        <f>CLEAN("C LA CROSSE  WAGON WHEEL TRAIL")</f>
        <v>C LA CROSSE  WAGON WHEEL TRAIL</v>
      </c>
      <c r="F589" s="3" t="str">
        <f>CLEAN("LA CRESCENT MN TO C LA CROSSE")</f>
        <v>LA CRESCENT MN TO C LA CROSSE</v>
      </c>
      <c r="G589" s="3" t="str">
        <f>CLEAN("PE/PL CHECK PEDESTRAIN PATH")</f>
        <v>PE/PL CHECK PEDESTRAIN PATH</v>
      </c>
      <c r="H589" s="2" t="str">
        <f>CLEAN("NON HWY")</f>
        <v>NON HWY</v>
      </c>
      <c r="I589" s="2" t="str">
        <f>CLEAN("290")</f>
        <v>290</v>
      </c>
    </row>
    <row r="590" spans="1:9" x14ac:dyDescent="0.35">
      <c r="A590" s="2" t="str">
        <f t="shared" si="100"/>
        <v>LA CROSSE</v>
      </c>
      <c r="B590" s="2" t="str">
        <f t="shared" si="101"/>
        <v>CITY OF LA CROSSE</v>
      </c>
      <c r="C590" s="2" t="s">
        <v>2170</v>
      </c>
      <c r="D590" s="2" t="str">
        <f>CLEAN("5991-07-77")</f>
        <v>5991-07-77</v>
      </c>
      <c r="E590" s="3" t="str">
        <f>CLEAN("CITY OF LA CROSSE  GREEN BAY STREET")</f>
        <v>CITY OF LA CROSSE  GREEN BAY STREET</v>
      </c>
      <c r="F590" s="3" t="str">
        <f>CLEAN("22ND STREET SOUTH TO LOSEY BLVD")</f>
        <v>22ND STREET SOUTH TO LOSEY BLVD</v>
      </c>
      <c r="G590" s="3" t="str">
        <f>CLEAN("DESIGN/PLAN CHECK REVIEW/RECST")</f>
        <v>DESIGN/PLAN CHECK REVIEW/RECST</v>
      </c>
      <c r="H590" s="2" t="str">
        <f t="shared" ref="H590:H596" si="107">CLEAN("LOC STR")</f>
        <v>LOC STR</v>
      </c>
      <c r="I590" s="2" t="str">
        <f t="shared" ref="I590:I596" si="108">CLEAN("206")</f>
        <v>206</v>
      </c>
    </row>
    <row r="591" spans="1:9" x14ac:dyDescent="0.35">
      <c r="A591" s="2" t="str">
        <f t="shared" si="100"/>
        <v>LA CROSSE</v>
      </c>
      <c r="B591" s="2" t="str">
        <f t="shared" si="101"/>
        <v>CITY OF LA CROSSE</v>
      </c>
      <c r="C591" s="2" t="s">
        <v>233</v>
      </c>
      <c r="D591" s="2" t="str">
        <f>CLEAN("5991-07-78")</f>
        <v>5991-07-78</v>
      </c>
      <c r="E591" s="3" t="str">
        <f>CLEAN("CITY OF LA CROSSE  GREEN BAY STREET")</f>
        <v>CITY OF LA CROSSE  GREEN BAY STREET</v>
      </c>
      <c r="F591" s="3" t="str">
        <f>CLEAN("22ND STREET SOUTH TO LOSEY BLVD")</f>
        <v>22ND STREET SOUTH TO LOSEY BLVD</v>
      </c>
      <c r="G591" s="3" t="str">
        <f>CLEAN("CONST OPS/RECONSTRUCTION")</f>
        <v>CONST OPS/RECONSTRUCTION</v>
      </c>
      <c r="H591" s="2" t="str">
        <f t="shared" si="107"/>
        <v>LOC STR</v>
      </c>
      <c r="I591" s="2" t="str">
        <f t="shared" si="108"/>
        <v>206</v>
      </c>
    </row>
    <row r="592" spans="1:9" x14ac:dyDescent="0.35">
      <c r="A592" s="2" t="str">
        <f t="shared" si="100"/>
        <v>LA CROSSE</v>
      </c>
      <c r="B592" s="2" t="str">
        <f t="shared" si="101"/>
        <v>CITY OF LA CROSSE</v>
      </c>
      <c r="C592" s="2" t="s">
        <v>3417</v>
      </c>
      <c r="D592" s="2" t="str">
        <f>CLEAN("5991-07-79")</f>
        <v>5991-07-79</v>
      </c>
      <c r="E592" s="3" t="str">
        <f>CLEAN("CITY OF LA CROSSE  GREEN BAY STREET")</f>
        <v>CITY OF LA CROSSE  GREEN BAY STREET</v>
      </c>
      <c r="F592" s="3" t="str">
        <f>CLEAN("22ND STREET SOUTH TO LOSEY BLVD")</f>
        <v>22ND STREET SOUTH TO LOSEY BLVD</v>
      </c>
      <c r="G592" s="3" t="str">
        <f>CLEAN("UTL OPS/SANITARY SEWER - WATER MAIN")</f>
        <v>UTL OPS/SANITARY SEWER - WATER MAIN</v>
      </c>
      <c r="H592" s="2" t="str">
        <f t="shared" si="107"/>
        <v>LOC STR</v>
      </c>
      <c r="I592" s="2" t="str">
        <f t="shared" si="108"/>
        <v>206</v>
      </c>
    </row>
    <row r="593" spans="1:9" x14ac:dyDescent="0.35">
      <c r="A593" s="2" t="str">
        <f t="shared" si="100"/>
        <v>LA CROSSE</v>
      </c>
      <c r="B593" s="2" t="str">
        <f t="shared" si="101"/>
        <v>CITY OF LA CROSSE</v>
      </c>
      <c r="C593" s="2" t="s">
        <v>1680</v>
      </c>
      <c r="D593" s="2" t="str">
        <f>CLEAN("5991-07-80")</f>
        <v>5991-07-80</v>
      </c>
      <c r="E593" s="3" t="str">
        <f>CLEAN("C LA CROSSE  LOSEY BOULEVARD")</f>
        <v>C LA CROSSE  LOSEY BOULEVARD</v>
      </c>
      <c r="F593" s="3" t="str">
        <f>CLEAN("MAIN STREET INTERSECTION")</f>
        <v>MAIN STREET INTERSECTION</v>
      </c>
      <c r="G593" s="3" t="str">
        <f>CLEAN("DESIGN - PLAN CHECK REVIEW/MISC")</f>
        <v>DESIGN - PLAN CHECK REVIEW/MISC</v>
      </c>
      <c r="H593" s="2" t="str">
        <f t="shared" si="107"/>
        <v>LOC STR</v>
      </c>
      <c r="I593" s="2" t="str">
        <f t="shared" si="108"/>
        <v>206</v>
      </c>
    </row>
    <row r="594" spans="1:9" x14ac:dyDescent="0.35">
      <c r="A594" s="2" t="str">
        <f t="shared" si="100"/>
        <v>LA CROSSE</v>
      </c>
      <c r="B594" s="2" t="str">
        <f t="shared" si="101"/>
        <v>CITY OF LA CROSSE</v>
      </c>
      <c r="C594" s="2" t="s">
        <v>605</v>
      </c>
      <c r="D594" s="2" t="str">
        <f>CLEAN("5991-07-81")</f>
        <v>5991-07-81</v>
      </c>
      <c r="E594" s="3" t="str">
        <f>CLEAN("C LA CROSSE  LOSEY BOULEVARD")</f>
        <v>C LA CROSSE  LOSEY BOULEVARD</v>
      </c>
      <c r="F594" s="3" t="str">
        <f>CLEAN("MAIN STREET INTERSECTION")</f>
        <v>MAIN STREET INTERSECTION</v>
      </c>
      <c r="G594" s="3" t="str">
        <f>CLEAN("CONST/LT TURN LANES/MONOTUBES/MISC")</f>
        <v>CONST/LT TURN LANES/MONOTUBES/MISC</v>
      </c>
      <c r="H594" s="2" t="str">
        <f t="shared" si="107"/>
        <v>LOC STR</v>
      </c>
      <c r="I594" s="2" t="str">
        <f t="shared" si="108"/>
        <v>206</v>
      </c>
    </row>
    <row r="595" spans="1:9" x14ac:dyDescent="0.35">
      <c r="A595" s="2" t="str">
        <f t="shared" si="100"/>
        <v>LA CROSSE</v>
      </c>
      <c r="B595" s="2" t="str">
        <f t="shared" si="101"/>
        <v>CITY OF LA CROSSE</v>
      </c>
      <c r="C595" s="2" t="s">
        <v>1683</v>
      </c>
      <c r="D595" s="2" t="str">
        <f>CLEAN("5991-07-82")</f>
        <v>5991-07-82</v>
      </c>
      <c r="E595" s="3" t="str">
        <f>CLEAN("C LA CROSSE  LOSEY BOULEVARD")</f>
        <v>C LA CROSSE  LOSEY BOULEVARD</v>
      </c>
      <c r="F595" s="3" t="str">
        <f>CLEAN("MORMON COULEE ROAD TO WARD AVENUE")</f>
        <v>MORMON COULEE ROAD TO WARD AVENUE</v>
      </c>
      <c r="G595" s="3" t="str">
        <f>CLEAN("DESIGN - PLAN CHECK REVIEW/RECST")</f>
        <v>DESIGN - PLAN CHECK REVIEW/RECST</v>
      </c>
      <c r="H595" s="2" t="str">
        <f t="shared" si="107"/>
        <v>LOC STR</v>
      </c>
      <c r="I595" s="2" t="str">
        <f t="shared" si="108"/>
        <v>206</v>
      </c>
    </row>
    <row r="596" spans="1:9" x14ac:dyDescent="0.35">
      <c r="A596" s="2" t="str">
        <f t="shared" si="100"/>
        <v>LA CROSSE</v>
      </c>
      <c r="B596" s="2" t="str">
        <f t="shared" si="101"/>
        <v>CITY OF LA CROSSE</v>
      </c>
      <c r="C596" s="2" t="s">
        <v>2171</v>
      </c>
      <c r="D596" s="2" t="str">
        <f>CLEAN("5991-07-84")</f>
        <v>5991-07-84</v>
      </c>
      <c r="E596" s="3" t="str">
        <f>CLEAN("C LA CROSSE  GREEN BAY STREET")</f>
        <v>C LA CROSSE  GREEN BAY STREET</v>
      </c>
      <c r="F596" s="3" t="str">
        <f>CLEAN("9TH STREET S. TO 14TH STREET S.")</f>
        <v>9TH STREET S. TO 14TH STREET S.</v>
      </c>
      <c r="G596" s="3" t="str">
        <f>CLEAN("DESIGN/PLAN CHECK REVIEW/RECST")</f>
        <v>DESIGN/PLAN CHECK REVIEW/RECST</v>
      </c>
      <c r="H596" s="2" t="str">
        <f t="shared" si="107"/>
        <v>LOC STR</v>
      </c>
      <c r="I596" s="2" t="str">
        <f t="shared" si="108"/>
        <v>206</v>
      </c>
    </row>
    <row r="597" spans="1:9" x14ac:dyDescent="0.35">
      <c r="A597" s="2" t="str">
        <f t="shared" si="100"/>
        <v>LA CROSSE</v>
      </c>
      <c r="B597" s="2" t="str">
        <f t="shared" si="101"/>
        <v>CITY OF LA CROSSE</v>
      </c>
      <c r="C597" s="2" t="s">
        <v>2060</v>
      </c>
      <c r="D597" s="2" t="str">
        <f>CLEAN("5991-07-86")</f>
        <v>5991-07-86</v>
      </c>
      <c r="E597" s="3" t="str">
        <f>CLEAN("C LA CROSSE  AVON STREET")</f>
        <v>C LA CROSSE  AVON STREET</v>
      </c>
      <c r="F597" s="3" t="str">
        <f>CLEAN("ST. CLOUD STREET TO MOORE STREET")</f>
        <v>ST. CLOUD STREET TO MOORE STREET</v>
      </c>
      <c r="G597" s="3" t="str">
        <f>CLEAN("DESIGN/PLAN CHECK REVIEW")</f>
        <v>DESIGN/PLAN CHECK REVIEW</v>
      </c>
      <c r="H597" s="2" t="str">
        <f>CLEAN("NON HWY")</f>
        <v>NON HWY</v>
      </c>
      <c r="I597" s="2" t="str">
        <f>CLEAN("290")</f>
        <v>290</v>
      </c>
    </row>
    <row r="598" spans="1:9" x14ac:dyDescent="0.35">
      <c r="A598" s="2" t="str">
        <f t="shared" si="100"/>
        <v>LA CROSSE</v>
      </c>
      <c r="B598" s="2" t="str">
        <f t="shared" si="101"/>
        <v>CITY OF LA CROSSE</v>
      </c>
      <c r="C598" s="2" t="s">
        <v>34</v>
      </c>
      <c r="D598" s="2" t="str">
        <f>CLEAN("7575-07-70")</f>
        <v>7575-07-70</v>
      </c>
      <c r="E598" s="3" t="str">
        <f>CLEAN("C LA CROSSE  INTERSECTION IMPRVMNTS")</f>
        <v>C LA CROSSE  INTERSECTION IMPRVMNTS</v>
      </c>
      <c r="F598" s="3" t="str">
        <f>CLEAN("LA CROSSE ST/STH 35/WEST AVE INTER")</f>
        <v>LA CROSSE ST/STH 35/WEST AVE INTER</v>
      </c>
      <c r="G598" s="3" t="str">
        <f>CLEAN("CONS/LEFT TURN LANES/MONOTUBES/MISC")</f>
        <v>CONS/LEFT TURN LANES/MONOTUBES/MISC</v>
      </c>
      <c r="H598" s="2" t="str">
        <f>CLEAN("STH 016")</f>
        <v>STH 016</v>
      </c>
      <c r="I598" s="2" t="str">
        <f t="shared" ref="I598:I605" si="109">CLEAN("303")</f>
        <v>303</v>
      </c>
    </row>
    <row r="599" spans="1:9" x14ac:dyDescent="0.35">
      <c r="A599" s="2" t="str">
        <f t="shared" si="100"/>
        <v>LA CROSSE</v>
      </c>
      <c r="B599" s="2" t="str">
        <f t="shared" si="101"/>
        <v>CITY OF LA CROSSE</v>
      </c>
      <c r="C599" s="2" t="s">
        <v>650</v>
      </c>
      <c r="D599" s="2" t="str">
        <f>CLEAN("7575-07-73")</f>
        <v>7575-07-73</v>
      </c>
      <c r="E599" s="3" t="str">
        <f>CLEAN("C LA CROSSE  LA CROSSE STREET")</f>
        <v>C LA CROSSE  LA CROSSE STREET</v>
      </c>
      <c r="F599" s="3" t="str">
        <f>CLEAN("OAKLAND ST TO LOSEY BLVD")</f>
        <v>OAKLAND ST TO LOSEY BLVD</v>
      </c>
      <c r="G599" s="3" t="str">
        <f>CLEAN("CONST/PATCH AND OVERLAY/RECST")</f>
        <v>CONST/PATCH AND OVERLAY/RECST</v>
      </c>
      <c r="H599" s="2" t="str">
        <f>CLEAN("STH 016")</f>
        <v>STH 016</v>
      </c>
      <c r="I599" s="2" t="str">
        <f t="shared" si="109"/>
        <v>303</v>
      </c>
    </row>
    <row r="600" spans="1:9" x14ac:dyDescent="0.35">
      <c r="A600" s="2" t="str">
        <f t="shared" si="100"/>
        <v>LA CROSSE</v>
      </c>
      <c r="B600" s="2" t="str">
        <f t="shared" si="101"/>
        <v>CITY OF LA CROSSE</v>
      </c>
      <c r="C600" s="2" t="s">
        <v>1030</v>
      </c>
      <c r="D600" s="2" t="str">
        <f>CLEAN("7575-07-83")</f>
        <v>7575-07-83</v>
      </c>
      <c r="E600" s="3" t="str">
        <f>CLEAN("C LA CROSSE  LA CROSSE STREET")</f>
        <v>C LA CROSSE  LA CROSSE STREET</v>
      </c>
      <c r="F600" s="3" t="str">
        <f>CLEAN("OAKLAND ST TO LOSEY BLVD")</f>
        <v>OAKLAND ST TO LOSEY BLVD</v>
      </c>
      <c r="G600" s="3" t="str">
        <f>CLEAN("CONST/SANITARY SEWER &amp; WATER/RECST")</f>
        <v>CONST/SANITARY SEWER &amp; WATER/RECST</v>
      </c>
      <c r="H600" s="2" t="str">
        <f>CLEAN("STH 016")</f>
        <v>STH 016</v>
      </c>
      <c r="I600" s="2" t="str">
        <f t="shared" si="109"/>
        <v>303</v>
      </c>
    </row>
    <row r="601" spans="1:9" x14ac:dyDescent="0.35">
      <c r="A601" s="2" t="str">
        <f>CLEAN("RUSK")</f>
        <v>RUSK</v>
      </c>
      <c r="B601" s="2" t="str">
        <f>CLEAN("CITY OF LADYSMITH")</f>
        <v>CITY OF LADYSMITH</v>
      </c>
      <c r="C601" s="2" t="s">
        <v>2274</v>
      </c>
      <c r="D601" s="2" t="str">
        <f>CLEAN("1580-04-02")</f>
        <v>1580-04-02</v>
      </c>
      <c r="E601" s="3" t="str">
        <f>CLEAN("LADYSMITH - HAWKINS")</f>
        <v>LADYSMITH - HAWKINS</v>
      </c>
      <c r="F601" s="3" t="str">
        <f>CLEAN("RIVER AVENUE TO PRENTICE STREET")</f>
        <v>RIVER AVENUE TO PRENTICE STREET</v>
      </c>
      <c r="G601" s="3" t="str">
        <f>CLEAN("DESIGN/RESURFACE/RSRF20")</f>
        <v>DESIGN/RESURFACE/RSRF20</v>
      </c>
      <c r="H601" s="2" t="str">
        <f>CLEAN("USH 008")</f>
        <v>USH 008</v>
      </c>
      <c r="I601" s="2" t="str">
        <f t="shared" si="109"/>
        <v>303</v>
      </c>
    </row>
    <row r="602" spans="1:9" x14ac:dyDescent="0.35">
      <c r="A602" s="2" t="str">
        <f>CLEAN("RUSK")</f>
        <v>RUSK</v>
      </c>
      <c r="B602" s="2" t="str">
        <f>CLEAN("CITY OF LADYSMITH")</f>
        <v>CITY OF LADYSMITH</v>
      </c>
      <c r="C602" s="2" t="s">
        <v>1355</v>
      </c>
      <c r="D602" s="2" t="str">
        <f>CLEAN("1580-04-72")</f>
        <v>1580-04-72</v>
      </c>
      <c r="E602" s="3" t="str">
        <f>CLEAN("LADYSMITH - HAWKINS")</f>
        <v>LADYSMITH - HAWKINS</v>
      </c>
      <c r="F602" s="3" t="str">
        <f>CLEAN("RIVER AVENUE TO PRENTICE STREET")</f>
        <v>RIVER AVENUE TO PRENTICE STREET</v>
      </c>
      <c r="G602" s="3" t="str">
        <f>CLEAN("CONSTRUCTION/RESURFACE")</f>
        <v>CONSTRUCTION/RESURFACE</v>
      </c>
      <c r="H602" s="2" t="str">
        <f>CLEAN("USH 008")</f>
        <v>USH 008</v>
      </c>
      <c r="I602" s="2" t="str">
        <f t="shared" si="109"/>
        <v>303</v>
      </c>
    </row>
    <row r="603" spans="1:9" x14ac:dyDescent="0.35">
      <c r="A603" s="2" t="str">
        <f>CLEAN("RUSK")</f>
        <v>RUSK</v>
      </c>
      <c r="B603" s="2" t="str">
        <f>CLEAN("CITY OF LADYSMITH")</f>
        <v>CITY OF LADYSMITH</v>
      </c>
      <c r="C603" s="2" t="s">
        <v>1343</v>
      </c>
      <c r="D603" s="2" t="str">
        <f>CLEAN("8180-00-81")</f>
        <v>8180-00-81</v>
      </c>
      <c r="E603" s="3" t="str">
        <f>CLEAN("CORNELL - LADYSMITH")</f>
        <v>CORNELL - LADYSMITH</v>
      </c>
      <c r="F603" s="3" t="str">
        <f>CLEAN("CHIPPEWA/RUSK CO LN TO USH 8")</f>
        <v>CHIPPEWA/RUSK CO LN TO USH 8</v>
      </c>
      <c r="G603" s="3" t="str">
        <f>CLEAN("CONSTRUCTION/RESURFACE")</f>
        <v>CONSTRUCTION/RESURFACE</v>
      </c>
      <c r="H603" s="2" t="str">
        <f>CLEAN("STH 027")</f>
        <v>STH 027</v>
      </c>
      <c r="I603" s="2" t="str">
        <f t="shared" si="109"/>
        <v>303</v>
      </c>
    </row>
    <row r="604" spans="1:9" x14ac:dyDescent="0.35">
      <c r="A604" s="2" t="str">
        <f t="shared" ref="A604:A609" si="110">CLEAN("WALWORTH")</f>
        <v>WALWORTH</v>
      </c>
      <c r="B604" s="2" t="str">
        <f t="shared" ref="B604:B609" si="111">CLEAN("CITY OF LAKE GENEVA")</f>
        <v>CITY OF LAKE GENEVA</v>
      </c>
      <c r="C604" s="2" t="s">
        <v>2671</v>
      </c>
      <c r="D604" s="2" t="str">
        <f>CLEAN("3170-09-01")</f>
        <v>3170-09-01</v>
      </c>
      <c r="E604" s="3" t="str">
        <f>CLEAN("C LAKE GENEVA  W MAIN ST")</f>
        <v>C LAKE GENEVA  W MAIN ST</v>
      </c>
      <c r="F604" s="3" t="str">
        <f>CLEAN("FOREST ST TO WELLS ST")</f>
        <v>FOREST ST TO WELLS ST</v>
      </c>
      <c r="G604" s="3" t="str">
        <f>CLEAN("PE/FULL PS &amp; E ROW/PVRPLA")</f>
        <v>PE/FULL PS &amp; E ROW/PVRPLA</v>
      </c>
      <c r="H604" s="2" t="str">
        <f>CLEAN("STH 050")</f>
        <v>STH 050</v>
      </c>
      <c r="I604" s="2" t="str">
        <f t="shared" si="109"/>
        <v>303</v>
      </c>
    </row>
    <row r="605" spans="1:9" x14ac:dyDescent="0.35">
      <c r="A605" s="2" t="str">
        <f t="shared" si="110"/>
        <v>WALWORTH</v>
      </c>
      <c r="B605" s="2" t="str">
        <f t="shared" si="111"/>
        <v>CITY OF LAKE GENEVA</v>
      </c>
      <c r="C605" s="2" t="s">
        <v>2773</v>
      </c>
      <c r="D605" s="2" t="str">
        <f>CLEAN("3180-07-01")</f>
        <v>3180-07-01</v>
      </c>
      <c r="E605" s="3" t="str">
        <f>CLEAN("C LAKE GENEVA  EDWARDS BLVD")</f>
        <v>C LAKE GENEVA  EDWARDS BLVD</v>
      </c>
      <c r="F605" s="3" t="str">
        <f>CLEAN("TOWNLINE RD TO STH 50")</f>
        <v>TOWNLINE RD TO STH 50</v>
      </c>
      <c r="G605" s="3" t="str">
        <f>CLEAN("PE/FULL PS&amp;E/RESURFACE")</f>
        <v>PE/FULL PS&amp;E/RESURFACE</v>
      </c>
      <c r="H605" s="2" t="str">
        <f>CLEAN("STH 120")</f>
        <v>STH 120</v>
      </c>
      <c r="I605" s="2" t="str">
        <f t="shared" si="109"/>
        <v>303</v>
      </c>
    </row>
    <row r="606" spans="1:9" x14ac:dyDescent="0.35">
      <c r="A606" s="2" t="str">
        <f t="shared" si="110"/>
        <v>WALWORTH</v>
      </c>
      <c r="B606" s="2" t="str">
        <f t="shared" si="111"/>
        <v>CITY OF LAKE GENEVA</v>
      </c>
      <c r="C606" s="2" t="s">
        <v>2968</v>
      </c>
      <c r="D606" s="2" t="str">
        <f>CLEAN("3700-04-02")</f>
        <v>3700-04-02</v>
      </c>
      <c r="E606" s="3" t="str">
        <f>CLEAN("C LAKE GENEVA  TRAFFIC SIGNAL")</f>
        <v>C LAKE GENEVA  TRAFFIC SIGNAL</v>
      </c>
      <c r="F606" s="3" t="str">
        <f>CLEAN("TOWNLINE &amp; EDWARDS INTERSECTION")</f>
        <v>TOWNLINE &amp; EDWARDS INTERSECTION</v>
      </c>
      <c r="G606" s="3" t="str">
        <f>CLEAN("PE/SIGNAL INSTALL")</f>
        <v>PE/SIGNAL INSTALL</v>
      </c>
      <c r="H606" s="2" t="str">
        <f>CLEAN("STH 120")</f>
        <v>STH 120</v>
      </c>
      <c r="I606" s="2" t="str">
        <f>CLEAN("305")</f>
        <v>305</v>
      </c>
    </row>
    <row r="607" spans="1:9" x14ac:dyDescent="0.35">
      <c r="A607" s="2" t="str">
        <f t="shared" si="110"/>
        <v>WALWORTH</v>
      </c>
      <c r="B607" s="2" t="str">
        <f t="shared" si="111"/>
        <v>CITY OF LAKE GENEVA</v>
      </c>
      <c r="C607" s="2" t="s">
        <v>3055</v>
      </c>
      <c r="D607" s="2" t="str">
        <f>CLEAN("3170-09-00")</f>
        <v>3170-09-00</v>
      </c>
      <c r="E607" s="3" t="str">
        <f>CLEAN("W MAIN ST (CITY OF LAKE GENEVA)")</f>
        <v>W MAIN ST (CITY OF LAKE GENEVA)</v>
      </c>
      <c r="F607" s="3" t="str">
        <f>CLEAN("WELLS ST TO GRAND GENEVA WAY")</f>
        <v>WELLS ST TO GRAND GENEVA WAY</v>
      </c>
      <c r="G607" s="3" t="str">
        <f>CLEAN("PE-FULL PS&amp;E-RSRF25")</f>
        <v>PE-FULL PS&amp;E-RSRF25</v>
      </c>
      <c r="H607" s="2" t="str">
        <f>CLEAN("STH 050")</f>
        <v>STH 050</v>
      </c>
      <c r="I607" s="2" t="str">
        <f>CLEAN("303")</f>
        <v>303</v>
      </c>
    </row>
    <row r="608" spans="1:9" x14ac:dyDescent="0.35">
      <c r="A608" s="2" t="str">
        <f t="shared" si="110"/>
        <v>WALWORTH</v>
      </c>
      <c r="B608" s="2" t="str">
        <f t="shared" si="111"/>
        <v>CITY OF LAKE GENEVA</v>
      </c>
      <c r="C608" s="2" t="s">
        <v>1020</v>
      </c>
      <c r="D608" s="2" t="str">
        <f>CLEAN("3170-09-70")</f>
        <v>3170-09-70</v>
      </c>
      <c r="E608" s="3" t="str">
        <f>CLEAN("C LAKE GENEVA  W MAIN ST")</f>
        <v>C LAKE GENEVA  W MAIN ST</v>
      </c>
      <c r="F608" s="3" t="str">
        <f>CLEAN("WELLS ST TO GRAND GENEVA WAY")</f>
        <v>WELLS ST TO GRAND GENEVA WAY</v>
      </c>
      <c r="G608" s="3" t="str">
        <f>CLEAN("CONST/RSRF25 - RESURFACE")</f>
        <v>CONST/RSRF25 - RESURFACE</v>
      </c>
      <c r="H608" s="2" t="str">
        <f>CLEAN("STH 050")</f>
        <v>STH 050</v>
      </c>
      <c r="I608" s="2" t="str">
        <f>CLEAN("303")</f>
        <v>303</v>
      </c>
    </row>
    <row r="609" spans="1:9" x14ac:dyDescent="0.35">
      <c r="A609" s="2" t="str">
        <f t="shared" si="110"/>
        <v>WALWORTH</v>
      </c>
      <c r="B609" s="2" t="str">
        <f t="shared" si="111"/>
        <v>CITY OF LAKE GENEVA</v>
      </c>
      <c r="C609" s="2" t="s">
        <v>720</v>
      </c>
      <c r="D609" s="2" t="str">
        <f>CLEAN("3170-09-71")</f>
        <v>3170-09-71</v>
      </c>
      <c r="E609" s="3" t="str">
        <f>CLEAN("C LAKE GENEVA  W MAIN ST")</f>
        <v>C LAKE GENEVA  W MAIN ST</v>
      </c>
      <c r="F609" s="3" t="str">
        <f>CLEAN("FOREST ST TO WELLS ST")</f>
        <v>FOREST ST TO WELLS ST</v>
      </c>
      <c r="G609" s="3" t="str">
        <f>CLEAN("CONST/PVRPLA")</f>
        <v>CONST/PVRPLA</v>
      </c>
      <c r="H609" s="2" t="str">
        <f>CLEAN("STH 050")</f>
        <v>STH 050</v>
      </c>
      <c r="I609" s="2" t="str">
        <f>CLEAN("303")</f>
        <v>303</v>
      </c>
    </row>
    <row r="610" spans="1:9" x14ac:dyDescent="0.35">
      <c r="A610" s="2" t="str">
        <f>CLEAN("JEFFERSON")</f>
        <v>JEFFERSON</v>
      </c>
      <c r="B610" s="2" t="str">
        <f>CLEAN("CITY OF LAKE MILLS")</f>
        <v>CITY OF LAKE MILLS</v>
      </c>
      <c r="C610" s="2" t="s">
        <v>1099</v>
      </c>
      <c r="D610" s="2" t="str">
        <f>CLEAN("3300-01-74")</f>
        <v>3300-01-74</v>
      </c>
      <c r="E610" s="3" t="str">
        <f>CLEAN("C LAKE MILLS  MAIN STREET")</f>
        <v>C LAKE MILLS  MAIN STREET</v>
      </c>
      <c r="F610" s="3" t="str">
        <f>CLEAN("TOPEL STREET TO MADISON STREET")</f>
        <v>TOPEL STREET TO MADISON STREET</v>
      </c>
      <c r="G610" s="3" t="str">
        <f>CLEAN("CONST/WATER MAIN &amp; SANITARY SEWER")</f>
        <v>CONST/WATER MAIN &amp; SANITARY SEWER</v>
      </c>
      <c r="H610" s="2" t="str">
        <f>CLEAN("STH 089")</f>
        <v>STH 089</v>
      </c>
      <c r="I610" s="2" t="str">
        <f>CLEAN("303")</f>
        <v>303</v>
      </c>
    </row>
    <row r="611" spans="1:9" x14ac:dyDescent="0.35">
      <c r="A611" s="2" t="str">
        <f>CLEAN("JEFFERSON")</f>
        <v>JEFFERSON</v>
      </c>
      <c r="B611" s="2" t="str">
        <f>CLEAN("CITY OF LAKE MILLS")</f>
        <v>CITY OF LAKE MILLS</v>
      </c>
      <c r="C611" s="2" t="s">
        <v>2064</v>
      </c>
      <c r="D611" s="2" t="str">
        <f>CLEAN("3638-00-05")</f>
        <v>3638-00-05</v>
      </c>
      <c r="E611" s="3" t="str">
        <f>CLEAN("C LAKE MILLS  SIDEWALK IMPROVEMENTS")</f>
        <v>C LAKE MILLS  SIDEWALK IMPROVEMENTS</v>
      </c>
      <c r="F611" s="3" t="str">
        <f>CLEAN("VARIOUS CITY LOCATIONS")</f>
        <v>VARIOUS CITY LOCATIONS</v>
      </c>
      <c r="G611" s="3" t="str">
        <f>CLEAN("DESIGN/PLAN CHECK REVIEW")</f>
        <v>DESIGN/PLAN CHECK REVIEW</v>
      </c>
      <c r="H611" s="2" t="str">
        <f>CLEAN("NON HWY")</f>
        <v>NON HWY</v>
      </c>
      <c r="I611" s="2" t="str">
        <f>CLEAN("290")</f>
        <v>290</v>
      </c>
    </row>
    <row r="612" spans="1:9" x14ac:dyDescent="0.35">
      <c r="A612" s="2" t="str">
        <f>CLEAN("JEFFERSON")</f>
        <v>JEFFERSON</v>
      </c>
      <c r="B612" s="2" t="str">
        <f>CLEAN("CITY OF LAKE MILLS")</f>
        <v>CITY OF LAKE MILLS</v>
      </c>
      <c r="C612" s="2" t="s">
        <v>2189</v>
      </c>
      <c r="D612" s="2" t="str">
        <f>CLEAN("3638-00-08")</f>
        <v>3638-00-08</v>
      </c>
      <c r="E612" s="3" t="str">
        <f>CLEAN("C LAKE MILLS  S CP AVENUE")</f>
        <v>C LAKE MILLS  S CP AVENUE</v>
      </c>
      <c r="F612" s="3" t="str">
        <f>CLEAN("EAST LAKE STREET TO JEFFERSON ST")</f>
        <v>EAST LAKE STREET TO JEFFERSON ST</v>
      </c>
      <c r="G612" s="3" t="str">
        <f>CLEAN("DESIGN/PLAN CHECK REVIEW/RECST")</f>
        <v>DESIGN/PLAN CHECK REVIEW/RECST</v>
      </c>
      <c r="H612" s="2" t="str">
        <f>CLEAN("LOC STR")</f>
        <v>LOC STR</v>
      </c>
      <c r="I612" s="2" t="str">
        <f>CLEAN("206")</f>
        <v>206</v>
      </c>
    </row>
    <row r="613" spans="1:9" x14ac:dyDescent="0.35">
      <c r="A613" s="2" t="str">
        <f>CLEAN("JEFFERSON")</f>
        <v>JEFFERSON</v>
      </c>
      <c r="B613" s="2" t="str">
        <f>CLEAN("CITY OF LAKE MILLS")</f>
        <v>CITY OF LAKE MILLS</v>
      </c>
      <c r="C613" s="2" t="s">
        <v>2215</v>
      </c>
      <c r="D613" s="2" t="str">
        <f>CLEAN("3638-00-10")</f>
        <v>3638-00-10</v>
      </c>
      <c r="E613" s="3" t="str">
        <f>CLEAN("C LAKE MILLS  WEST LAKE PARK PLACE")</f>
        <v>C LAKE MILLS  WEST LAKE PARK PLACE</v>
      </c>
      <c r="F613" s="3" t="str">
        <f>CLEAN("S. FERRY DRIVE TO MAIN STREET")</f>
        <v>S. FERRY DRIVE TO MAIN STREET</v>
      </c>
      <c r="G613" s="3" t="str">
        <f>CLEAN("DESIGN/PLAN CHECK REVIEW/RECST")</f>
        <v>DESIGN/PLAN CHECK REVIEW/RECST</v>
      </c>
      <c r="H613" s="2" t="str">
        <f>CLEAN("LOC STR")</f>
        <v>LOC STR</v>
      </c>
      <c r="I613" s="2" t="str">
        <f>CLEAN("206")</f>
        <v>206</v>
      </c>
    </row>
    <row r="614" spans="1:9" x14ac:dyDescent="0.35">
      <c r="A614" s="2" t="str">
        <f>CLEAN("GRANT")</f>
        <v>GRANT</v>
      </c>
      <c r="B614" s="2" t="str">
        <f>CLEAN("CITY OF LANCASTER")</f>
        <v>CITY OF LANCASTER</v>
      </c>
      <c r="C614" s="2" t="s">
        <v>52</v>
      </c>
      <c r="D614" s="2" t="str">
        <f>CLEAN("1650-07-71")</f>
        <v>1650-07-71</v>
      </c>
      <c r="E614" s="3" t="str">
        <f>CLEAN("MADISON STREET  C LANCASTER")</f>
        <v>MADISON STREET  C LANCASTER</v>
      </c>
      <c r="F614" s="3" t="str">
        <f>CLEAN("CHERRY STREET TO CITY LIMITS STREET")</f>
        <v>CHERRY STREET TO CITY LIMITS STREET</v>
      </c>
      <c r="G614" s="3" t="str">
        <f>CLEAN("CONST OPS//REPLACE PAVEMENT")</f>
        <v>CONST OPS//REPLACE PAVEMENT</v>
      </c>
      <c r="H614" s="2" t="str">
        <f>CLEAN("USH 061")</f>
        <v>USH 061</v>
      </c>
      <c r="I614" s="2" t="str">
        <f>CLEAN("303")</f>
        <v>303</v>
      </c>
    </row>
    <row r="615" spans="1:9" x14ac:dyDescent="0.35">
      <c r="A615" s="2" t="str">
        <f>CLEAN("COLUMBIA")</f>
        <v>COLUMBIA</v>
      </c>
      <c r="B615" s="2" t="str">
        <f>CLEAN("CITY OF LODI")</f>
        <v>CITY OF LODI</v>
      </c>
      <c r="C615" s="2" t="s">
        <v>353</v>
      </c>
      <c r="D615" s="2" t="str">
        <f>CLEAN("5270-01-70")</f>
        <v>5270-01-70</v>
      </c>
      <c r="E615" s="3" t="str">
        <f>CLEAN("SAUK CITY - ARLINGTON")</f>
        <v>SAUK CITY - ARLINGTON</v>
      </c>
      <c r="F615" s="3" t="str">
        <f>CLEAN("RIDDLE ROAD TO CLARK STREET")</f>
        <v>RIDDLE ROAD TO CLARK STREET</v>
      </c>
      <c r="G615" s="3" t="str">
        <f>CLEAN("CONST/ PVRPLA")</f>
        <v>CONST/ PVRPLA</v>
      </c>
      <c r="H615" s="2" t="str">
        <f>CLEAN("STH 060")</f>
        <v>STH 060</v>
      </c>
      <c r="I615" s="2" t="str">
        <f>CLEAN("303")</f>
        <v>303</v>
      </c>
    </row>
    <row r="616" spans="1:9" x14ac:dyDescent="0.35">
      <c r="A616" s="2" t="str">
        <f>CLEAN("COLUMBIA")</f>
        <v>COLUMBIA</v>
      </c>
      <c r="B616" s="2" t="str">
        <f>CLEAN("CITY OF LODI")</f>
        <v>CITY OF LODI</v>
      </c>
      <c r="C616" s="2" t="s">
        <v>340</v>
      </c>
      <c r="D616" s="2" t="str">
        <f>CLEAN("5640-04-70")</f>
        <v>5640-04-70</v>
      </c>
      <c r="E616" s="3" t="str">
        <f>CLEAN("LODI - BARABOO")</f>
        <v>LODI - BARABOO</v>
      </c>
      <c r="F616" s="3" t="str">
        <f>CLEAN("STH 60 TO STH 188")</f>
        <v>STH 60 TO STH 188</v>
      </c>
      <c r="G616" s="3" t="str">
        <f>CLEAN("CONST/ MILL AND OVERLAY")</f>
        <v>CONST/ MILL AND OVERLAY</v>
      </c>
      <c r="H616" s="2" t="str">
        <f>CLEAN("STH 113")</f>
        <v>STH 113</v>
      </c>
      <c r="I616" s="2" t="str">
        <f>CLEAN("303")</f>
        <v>303</v>
      </c>
    </row>
    <row r="617" spans="1:9" x14ac:dyDescent="0.35">
      <c r="A617" s="2" t="str">
        <f>CLEAN("CLARK")</f>
        <v>CLARK</v>
      </c>
      <c r="B617" s="2" t="str">
        <f>CLEAN("CITY OF LOYAL")</f>
        <v>CITY OF LOYAL</v>
      </c>
      <c r="C617" s="2" t="s">
        <v>1421</v>
      </c>
      <c r="D617" s="2" t="str">
        <f>CLEAN("7040-00-03")</f>
        <v>7040-00-03</v>
      </c>
      <c r="E617" s="3" t="str">
        <f>CLEAN("GREENWOOD - SPENCER")</f>
        <v>GREENWOOD - SPENCER</v>
      </c>
      <c r="F617" s="3" t="str">
        <f>CLEAN("BEAR CREEK BRIDGE B-10-0053")</f>
        <v>BEAR CREEK BRIDGE B-10-0053</v>
      </c>
      <c r="G617" s="3" t="str">
        <f>CLEAN("DESIGN - FULL PS&amp;E BRRPL")</f>
        <v>DESIGN - FULL PS&amp;E BRRPL</v>
      </c>
      <c r="H617" s="2" t="str">
        <f>CLEAN("STH 098")</f>
        <v>STH 098</v>
      </c>
      <c r="I617" s="2" t="str">
        <f>CLEAN("303")</f>
        <v>303</v>
      </c>
    </row>
    <row r="618" spans="1:9" x14ac:dyDescent="0.35">
      <c r="A618" s="2" t="str">
        <f>CLEAN("CLARK")</f>
        <v>CLARK</v>
      </c>
      <c r="B618" s="2" t="str">
        <f>CLEAN("CITY OF LOYAL")</f>
        <v>CITY OF LOYAL</v>
      </c>
      <c r="C618" s="2" t="s">
        <v>1230</v>
      </c>
      <c r="D618" s="2" t="str">
        <f>CLEAN("7040-00-73")</f>
        <v>7040-00-73</v>
      </c>
      <c r="E618" s="3" t="str">
        <f>CLEAN("GREENWOOD - SPENCER")</f>
        <v>GREENWOOD - SPENCER</v>
      </c>
      <c r="F618" s="3" t="str">
        <f>CLEAN("BEAR CREEK BRIDGE B-10-0252")</f>
        <v>BEAR CREEK BRIDGE B-10-0252</v>
      </c>
      <c r="G618" s="3" t="str">
        <f>CLEAN("CONSTRUCTION/BRRPL")</f>
        <v>CONSTRUCTION/BRRPL</v>
      </c>
      <c r="H618" s="2" t="str">
        <f>CLEAN("STH 098")</f>
        <v>STH 098</v>
      </c>
      <c r="I618" s="2" t="str">
        <f>CLEAN("303")</f>
        <v>303</v>
      </c>
    </row>
    <row r="619" spans="1:9" x14ac:dyDescent="0.35">
      <c r="A619" s="2" t="str">
        <f t="shared" ref="A619:A650" si="112">CLEAN("DANE")</f>
        <v>DANE</v>
      </c>
      <c r="B619" s="2" t="str">
        <f t="shared" ref="B619:B650" si="113">CLEAN("CITY OF MADISON  ENG DIV")</f>
        <v>CITY OF MADISON  ENG DIV</v>
      </c>
      <c r="C619" s="2" t="s">
        <v>2066</v>
      </c>
      <c r="D619" s="2" t="str">
        <f>CLEAN("5992-02-01")</f>
        <v>5992-02-01</v>
      </c>
      <c r="E619" s="3" t="str">
        <f>CLEAN("C MADISON  MOORLAND RD PATH")</f>
        <v>C MADISON  MOORLAND RD PATH</v>
      </c>
      <c r="F619" s="3" t="str">
        <f>CLEAN("WAYLAND DR TO CAPITAL CITY TRAIL")</f>
        <v>WAYLAND DR TO CAPITAL CITY TRAIL</v>
      </c>
      <c r="G619" s="3" t="str">
        <f>CLEAN("DESIGN/PLAN CHECK REVIEW")</f>
        <v>DESIGN/PLAN CHECK REVIEW</v>
      </c>
      <c r="H619" s="2" t="str">
        <f>CLEAN("NON HWY")</f>
        <v>NON HWY</v>
      </c>
      <c r="I619" s="2" t="str">
        <f>CLEAN("290")</f>
        <v>290</v>
      </c>
    </row>
    <row r="620" spans="1:9" x14ac:dyDescent="0.35">
      <c r="A620" s="2" t="str">
        <f t="shared" si="112"/>
        <v>DANE</v>
      </c>
      <c r="B620" s="2" t="str">
        <f t="shared" si="113"/>
        <v>CITY OF MADISON  ENG DIV</v>
      </c>
      <c r="C620" s="2" t="s">
        <v>2058</v>
      </c>
      <c r="D620" s="2" t="str">
        <f>CLEAN("5992-02-04")</f>
        <v>5992-02-04</v>
      </c>
      <c r="E620" s="3" t="str">
        <f>CLEAN("C MADISON  WOODWARD DR PATH")</f>
        <v>C MADISON  WOODWARD DR PATH</v>
      </c>
      <c r="F620" s="3" t="str">
        <f>CLEAN("SHERIDAN DR TO FORSTER DR")</f>
        <v>SHERIDAN DR TO FORSTER DR</v>
      </c>
      <c r="G620" s="3" t="str">
        <f>CLEAN("DESIGN/PLAN CHECK REVIEW")</f>
        <v>DESIGN/PLAN CHECK REVIEW</v>
      </c>
      <c r="H620" s="2" t="str">
        <f>CLEAN("NON HWY")</f>
        <v>NON HWY</v>
      </c>
      <c r="I620" s="2" t="str">
        <f>CLEAN("290")</f>
        <v>290</v>
      </c>
    </row>
    <row r="621" spans="1:9" x14ac:dyDescent="0.35">
      <c r="A621" s="2" t="str">
        <f t="shared" si="112"/>
        <v>DANE</v>
      </c>
      <c r="B621" s="2" t="str">
        <f t="shared" si="113"/>
        <v>CITY OF MADISON  ENG DIV</v>
      </c>
      <c r="C621" s="2" t="s">
        <v>2919</v>
      </c>
      <c r="D621" s="2" t="str">
        <f>CLEAN("5992-02-28")</f>
        <v>5992-02-28</v>
      </c>
      <c r="E621" s="3" t="str">
        <f>CLEAN("CITY OF MADISON  SHARED-USE PATH")</f>
        <v>CITY OF MADISON  SHARED-USE PATH</v>
      </c>
      <c r="F621" s="3" t="str">
        <f>CLEAN("W. BADGER ROAD TO NYGAARD STREET")</f>
        <v>W. BADGER ROAD TO NYGAARD STREET</v>
      </c>
      <c r="G621" s="3" t="str">
        <f>CLEAN("PE/PL CHECK BIKE/PED PATH")</f>
        <v>PE/PL CHECK BIKE/PED PATH</v>
      </c>
      <c r="H621" s="2" t="str">
        <f>CLEAN("NON HWY")</f>
        <v>NON HWY</v>
      </c>
      <c r="I621" s="2" t="str">
        <f>CLEAN("290")</f>
        <v>290</v>
      </c>
    </row>
    <row r="622" spans="1:9" x14ac:dyDescent="0.35">
      <c r="A622" s="2" t="str">
        <f t="shared" si="112"/>
        <v>DANE</v>
      </c>
      <c r="B622" s="2" t="str">
        <f t="shared" si="113"/>
        <v>CITY OF MADISON  ENG DIV</v>
      </c>
      <c r="C622" s="2" t="s">
        <v>3033</v>
      </c>
      <c r="D622" s="2" t="str">
        <f>CLEAN("5992-02-29")</f>
        <v>5992-02-29</v>
      </c>
      <c r="E622" s="3" t="str">
        <f>CLEAN("CITY OF MADISON  SHARED-USE PATH")</f>
        <v>CITY OF MADISON  SHARED-USE PATH</v>
      </c>
      <c r="F622" s="3" t="str">
        <f>CLEAN("W. BADGER ROAD TO NYGAARD STREET")</f>
        <v>W. BADGER ROAD TO NYGAARD STREET</v>
      </c>
      <c r="G622" s="3" t="str">
        <f>CLEAN("PEDESTRAIN/BICYCLE MULTI-USE PATH")</f>
        <v>PEDESTRAIN/BICYCLE MULTI-USE PATH</v>
      </c>
      <c r="H622" s="2" t="str">
        <f>CLEAN("NON HWY")</f>
        <v>NON HWY</v>
      </c>
      <c r="I622" s="2" t="str">
        <f>CLEAN("290")</f>
        <v>290</v>
      </c>
    </row>
    <row r="623" spans="1:9" x14ac:dyDescent="0.35">
      <c r="A623" s="2" t="str">
        <f t="shared" si="112"/>
        <v>DANE</v>
      </c>
      <c r="B623" s="2" t="str">
        <f t="shared" si="113"/>
        <v>CITY OF MADISON  ENG DIV</v>
      </c>
      <c r="C623" s="2" t="s">
        <v>1492</v>
      </c>
      <c r="D623" s="2" t="str">
        <f>CLEAN("5992-07-06")</f>
        <v>5992-07-06</v>
      </c>
      <c r="E623" s="3" t="str">
        <f>CLEAN("C MADISON  SOUTH WHITNEY WAY")</f>
        <v>C MADISON  SOUTH WHITNEY WAY</v>
      </c>
      <c r="F623" s="3" t="str">
        <f>CLEAN("ODANA ROAD INTERSECTION")</f>
        <v>ODANA ROAD INTERSECTION</v>
      </c>
      <c r="G623" s="3" t="str">
        <f>CLEAN("DESIGN - FULL PS&amp;E MISC")</f>
        <v>DESIGN - FULL PS&amp;E MISC</v>
      </c>
      <c r="H623" s="2" t="str">
        <f>CLEAN("LOC STR")</f>
        <v>LOC STR</v>
      </c>
      <c r="I623" s="2" t="str">
        <f t="shared" ref="I623:I633" si="114">CLEAN("206")</f>
        <v>206</v>
      </c>
    </row>
    <row r="624" spans="1:9" x14ac:dyDescent="0.35">
      <c r="A624" s="2" t="str">
        <f t="shared" si="112"/>
        <v>DANE</v>
      </c>
      <c r="B624" s="2" t="str">
        <f t="shared" si="113"/>
        <v>CITY OF MADISON  ENG DIV</v>
      </c>
      <c r="C624" s="2" t="s">
        <v>641</v>
      </c>
      <c r="D624" s="2" t="str">
        <f>CLEAN("5992-07-07")</f>
        <v>5992-07-07</v>
      </c>
      <c r="E624" s="3" t="str">
        <f>CLEAN("C MADISON  SOUTH WHITNEY WAY")</f>
        <v>C MADISON  SOUTH WHITNEY WAY</v>
      </c>
      <c r="F624" s="3" t="str">
        <f>CLEAN("ODANA ROAD INTERSECTION")</f>
        <v>ODANA ROAD INTERSECTION</v>
      </c>
      <c r="G624" s="3" t="str">
        <f>CLEAN("CONST/MONOTUBE/CROSSWALK/LIGHT/MISC")</f>
        <v>CONST/MONOTUBE/CROSSWALK/LIGHT/MISC</v>
      </c>
      <c r="H624" s="2" t="str">
        <f>CLEAN("LOC STR")</f>
        <v>LOC STR</v>
      </c>
      <c r="I624" s="2" t="str">
        <f t="shared" si="114"/>
        <v>206</v>
      </c>
    </row>
    <row r="625" spans="1:9" x14ac:dyDescent="0.35">
      <c r="A625" s="2" t="str">
        <f t="shared" si="112"/>
        <v>DANE</v>
      </c>
      <c r="B625" s="2" t="str">
        <f t="shared" si="113"/>
        <v>CITY OF MADISON  ENG DIV</v>
      </c>
      <c r="C625" s="2" t="s">
        <v>2031</v>
      </c>
      <c r="D625" s="2" t="str">
        <f>CLEAN("5992-07-18")</f>
        <v>5992-07-18</v>
      </c>
      <c r="E625" s="3" t="str">
        <f>CLEAN("C MADISON  GAMMON ROAD")</f>
        <v>C MADISON  GAMMON ROAD</v>
      </c>
      <c r="F625" s="3" t="str">
        <f>CLEAN("WATTS ROAD INTERSECTION")</f>
        <v>WATTS ROAD INTERSECTION</v>
      </c>
      <c r="G625" s="3" t="str">
        <f>CLEAN("DESIGN/LEFT TURN LANES/MONOTUBES")</f>
        <v>DESIGN/LEFT TURN LANES/MONOTUBES</v>
      </c>
      <c r="H625" s="2" t="str">
        <f>CLEAN("LOC STR")</f>
        <v>LOC STR</v>
      </c>
      <c r="I625" s="2" t="str">
        <f t="shared" si="114"/>
        <v>206</v>
      </c>
    </row>
    <row r="626" spans="1:9" x14ac:dyDescent="0.35">
      <c r="A626" s="2" t="str">
        <f t="shared" si="112"/>
        <v>DANE</v>
      </c>
      <c r="B626" s="2" t="str">
        <f t="shared" si="113"/>
        <v>CITY OF MADISON  ENG DIV</v>
      </c>
      <c r="C626" s="2" t="s">
        <v>591</v>
      </c>
      <c r="D626" s="2" t="str">
        <f>CLEAN("5992-07-19")</f>
        <v>5992-07-19</v>
      </c>
      <c r="E626" s="3" t="str">
        <f>CLEAN("C MADISON  GAMMON ROAD")</f>
        <v>C MADISON  GAMMON ROAD</v>
      </c>
      <c r="F626" s="3" t="str">
        <f>CLEAN("WATTS ROAD INTERSECTION")</f>
        <v>WATTS ROAD INTERSECTION</v>
      </c>
      <c r="G626" s="3" t="str">
        <f>CLEAN("CONST/LEFT TURN LANES/MONOTUBES")</f>
        <v>CONST/LEFT TURN LANES/MONOTUBES</v>
      </c>
      <c r="H626" s="2" t="str">
        <f>CLEAN("LOC STR")</f>
        <v>LOC STR</v>
      </c>
      <c r="I626" s="2" t="str">
        <f t="shared" si="114"/>
        <v>206</v>
      </c>
    </row>
    <row r="627" spans="1:9" x14ac:dyDescent="0.35">
      <c r="A627" s="2" t="str">
        <f t="shared" si="112"/>
        <v>DANE</v>
      </c>
      <c r="B627" s="2" t="str">
        <f t="shared" si="113"/>
        <v>CITY OF MADISON  ENG DIV</v>
      </c>
      <c r="C627" s="2" t="s">
        <v>254</v>
      </c>
      <c r="D627" s="2" t="str">
        <f>CLEAN("5992-09-26")</f>
        <v>5992-09-26</v>
      </c>
      <c r="E627" s="3" t="str">
        <f>CLEAN("C MADISON COTTAGE GROVE RD")</f>
        <v>C MADISON COTTAGE GROVE RD</v>
      </c>
      <c r="F627" s="3" t="str">
        <f>CLEAN("NORTH STAR DR TO SPRECHER ROAD")</f>
        <v>NORTH STAR DR TO SPRECHER ROAD</v>
      </c>
      <c r="G627" s="3" t="str">
        <f>CLEAN("CONST OPS/RECONSTRUCTION")</f>
        <v>CONST OPS/RECONSTRUCTION</v>
      </c>
      <c r="H627" s="2" t="str">
        <f>CLEAN("CTH BB")</f>
        <v>CTH BB</v>
      </c>
      <c r="I627" s="2" t="str">
        <f t="shared" si="114"/>
        <v>206</v>
      </c>
    </row>
    <row r="628" spans="1:9" x14ac:dyDescent="0.35">
      <c r="A628" s="2" t="str">
        <f t="shared" si="112"/>
        <v>DANE</v>
      </c>
      <c r="B628" s="2" t="str">
        <f t="shared" si="113"/>
        <v>CITY OF MADISON  ENG DIV</v>
      </c>
      <c r="C628" s="2" t="s">
        <v>322</v>
      </c>
      <c r="D628" s="2" t="str">
        <f>CLEAN("5992-09-27")</f>
        <v>5992-09-27</v>
      </c>
      <c r="E628" s="3" t="str">
        <f>CLEAN("C MADISON COTTAGE GROVE RD")</f>
        <v>C MADISON COTTAGE GROVE RD</v>
      </c>
      <c r="F628" s="3" t="str">
        <f>CLEAN("NORTH STAR DR TO SPRECHER ROAD")</f>
        <v>NORTH STAR DR TO SPRECHER ROAD</v>
      </c>
      <c r="G628" s="3" t="str">
        <f>CLEAN("CONST OPS/WATER MAIN")</f>
        <v>CONST OPS/WATER MAIN</v>
      </c>
      <c r="H628" s="2" t="str">
        <f>CLEAN("CTH BB")</f>
        <v>CTH BB</v>
      </c>
      <c r="I628" s="2" t="str">
        <f t="shared" si="114"/>
        <v>206</v>
      </c>
    </row>
    <row r="629" spans="1:9" x14ac:dyDescent="0.35">
      <c r="A629" s="2" t="str">
        <f t="shared" si="112"/>
        <v>DANE</v>
      </c>
      <c r="B629" s="2" t="str">
        <f t="shared" si="113"/>
        <v>CITY OF MADISON  ENG DIV</v>
      </c>
      <c r="C629" s="2" t="s">
        <v>242</v>
      </c>
      <c r="D629" s="2" t="str">
        <f>CLEAN("5992-10-16")</f>
        <v>5992-10-16</v>
      </c>
      <c r="E629" s="3" t="str">
        <f>CLEAN("C MADISON  ATWOOD AVENUE")</f>
        <v>C MADISON  ATWOOD AVENUE</v>
      </c>
      <c r="F629" s="3" t="str">
        <f>CLEAN("FAIR OAKS AVE TO COTTAGE GROVE ROAD")</f>
        <v>FAIR OAKS AVE TO COTTAGE GROVE ROAD</v>
      </c>
      <c r="G629" s="3" t="str">
        <f>CLEAN("CONST OPS/RECONSTRUCTION")</f>
        <v>CONST OPS/RECONSTRUCTION</v>
      </c>
      <c r="H629" s="2" t="str">
        <f>CLEAN("LOC STR")</f>
        <v>LOC STR</v>
      </c>
      <c r="I629" s="2" t="str">
        <f t="shared" si="114"/>
        <v>206</v>
      </c>
    </row>
    <row r="630" spans="1:9" x14ac:dyDescent="0.35">
      <c r="A630" s="2" t="str">
        <f t="shared" si="112"/>
        <v>DANE</v>
      </c>
      <c r="B630" s="2" t="str">
        <f t="shared" si="113"/>
        <v>CITY OF MADISON  ENG DIV</v>
      </c>
      <c r="C630" s="2" t="s">
        <v>243</v>
      </c>
      <c r="D630" s="2" t="str">
        <f>CLEAN("5992-10-17")</f>
        <v>5992-10-17</v>
      </c>
      <c r="E630" s="3" t="str">
        <f>CLEAN("C MADISON  ATWOOD AVENUE")</f>
        <v>C MADISON  ATWOOD AVENUE</v>
      </c>
      <c r="F630" s="3" t="str">
        <f>CLEAN("FAIR OAKS AVE TO COTTAGE GROVE ROAD")</f>
        <v>FAIR OAKS AVE TO COTTAGE GROVE ROAD</v>
      </c>
      <c r="G630" s="3" t="str">
        <f>CLEAN("CONST OPS/RECONSTRUCTION")</f>
        <v>CONST OPS/RECONSTRUCTION</v>
      </c>
      <c r="H630" s="2" t="str">
        <f>CLEAN("NON HWY")</f>
        <v>NON HWY</v>
      </c>
      <c r="I630" s="2" t="str">
        <f t="shared" si="114"/>
        <v>206</v>
      </c>
    </row>
    <row r="631" spans="1:9" x14ac:dyDescent="0.35">
      <c r="A631" s="2" t="str">
        <f t="shared" si="112"/>
        <v>DANE</v>
      </c>
      <c r="B631" s="2" t="str">
        <f t="shared" si="113"/>
        <v>CITY OF MADISON  ENG DIV</v>
      </c>
      <c r="C631" s="2" t="s">
        <v>3416</v>
      </c>
      <c r="D631" s="2" t="str">
        <f>CLEAN("5992-10-18")</f>
        <v>5992-10-18</v>
      </c>
      <c r="E631" s="3" t="str">
        <f>CLEAN("C MADISON  ATWOOD AVENUE")</f>
        <v>C MADISON  ATWOOD AVENUE</v>
      </c>
      <c r="F631" s="3" t="str">
        <f>CLEAN("FAIR OAKS AVE TO COTTAGE GROVE ROAD")</f>
        <v>FAIR OAKS AVE TO COTTAGE GROVE ROAD</v>
      </c>
      <c r="G631" s="3" t="str">
        <f>CLEAN("UTL OPS/SANITARY AND WATER MAIN")</f>
        <v>UTL OPS/SANITARY AND WATER MAIN</v>
      </c>
      <c r="H631" s="2" t="str">
        <f>CLEAN("LOC STR")</f>
        <v>LOC STR</v>
      </c>
      <c r="I631" s="2" t="str">
        <f t="shared" si="114"/>
        <v>206</v>
      </c>
    </row>
    <row r="632" spans="1:9" x14ac:dyDescent="0.35">
      <c r="A632" s="2" t="str">
        <f t="shared" si="112"/>
        <v>DANE</v>
      </c>
      <c r="B632" s="2" t="str">
        <f t="shared" si="113"/>
        <v>CITY OF MADISON  ENG DIV</v>
      </c>
      <c r="C632" s="2" t="s">
        <v>2221</v>
      </c>
      <c r="D632" s="2" t="str">
        <f>CLEAN("5992-10-19")</f>
        <v>5992-10-19</v>
      </c>
      <c r="E632" s="3" t="str">
        <f>CLEAN("C MADISON  MINERAL POINT ROAD")</f>
        <v>C MADISON  MINERAL POINT ROAD</v>
      </c>
      <c r="F632" s="3" t="str">
        <f>CLEAN("USH 12 TO HIGH POINT ROAD")</f>
        <v>USH 12 TO HIGH POINT ROAD</v>
      </c>
      <c r="G632" s="3" t="str">
        <f>CLEAN("DESIGN/PLAN CHECK REVIEW/RECST")</f>
        <v>DESIGN/PLAN CHECK REVIEW/RECST</v>
      </c>
      <c r="H632" s="2" t="str">
        <f>CLEAN("LOC STR")</f>
        <v>LOC STR</v>
      </c>
      <c r="I632" s="2" t="str">
        <f t="shared" si="114"/>
        <v>206</v>
      </c>
    </row>
    <row r="633" spans="1:9" x14ac:dyDescent="0.35">
      <c r="A633" s="2" t="str">
        <f t="shared" si="112"/>
        <v>DANE</v>
      </c>
      <c r="B633" s="2" t="str">
        <f t="shared" si="113"/>
        <v>CITY OF MADISON  ENG DIV</v>
      </c>
      <c r="C633" s="2" t="s">
        <v>204</v>
      </c>
      <c r="D633" s="2" t="str">
        <f>CLEAN("5992-10-20")</f>
        <v>5992-10-20</v>
      </c>
      <c r="E633" s="3" t="str">
        <f>CLEAN("C MADISON  MINERAL POINT ROAD")</f>
        <v>C MADISON  MINERAL POINT ROAD</v>
      </c>
      <c r="F633" s="3" t="str">
        <f>CLEAN("USH 12 TO HIGH POINT ROAD")</f>
        <v>USH 12 TO HIGH POINT ROAD</v>
      </c>
      <c r="G633" s="3" t="str">
        <f>CLEAN("CONST OPS/PAVEMENT REPLACMENT")</f>
        <v>CONST OPS/PAVEMENT REPLACMENT</v>
      </c>
      <c r="H633" s="2" t="str">
        <f>CLEAN("LOC STR")</f>
        <v>LOC STR</v>
      </c>
      <c r="I633" s="2" t="str">
        <f t="shared" si="114"/>
        <v>206</v>
      </c>
    </row>
    <row r="634" spans="1:9" x14ac:dyDescent="0.35">
      <c r="A634" s="2" t="str">
        <f t="shared" si="112"/>
        <v>DANE</v>
      </c>
      <c r="B634" s="2" t="str">
        <f t="shared" si="113"/>
        <v>CITY OF MADISON  ENG DIV</v>
      </c>
      <c r="C634" s="2" t="s">
        <v>39</v>
      </c>
      <c r="D634" s="2" t="str">
        <f>CLEAN("5992-10-31")</f>
        <v>5992-10-31</v>
      </c>
      <c r="E634" s="3" t="str">
        <f>CLEAN("CITY OF MADISON  GAMMON ROAD")</f>
        <v>CITY OF MADISON  GAMMON ROAD</v>
      </c>
      <c r="F634" s="3" t="str">
        <f>CLEAN("WEST TOWNE MALL TO GRAND CANYON DR")</f>
        <v>WEST TOWNE MALL TO GRAND CANYON DR</v>
      </c>
      <c r="G634" s="3" t="str">
        <f>CLEAN("CONST - UNDERPASS &amp; BIKE/PED PATH")</f>
        <v>CONST - UNDERPASS &amp; BIKE/PED PATH</v>
      </c>
      <c r="H634" s="2" t="str">
        <f>CLEAN("LOC STR")</f>
        <v>LOC STR</v>
      </c>
      <c r="I634" s="2" t="str">
        <f>CLEAN("290")</f>
        <v>290</v>
      </c>
    </row>
    <row r="635" spans="1:9" x14ac:dyDescent="0.35">
      <c r="A635" s="2" t="str">
        <f t="shared" si="112"/>
        <v>DANE</v>
      </c>
      <c r="B635" s="2" t="str">
        <f t="shared" si="113"/>
        <v>CITY OF MADISON  ENG DIV</v>
      </c>
      <c r="C635" s="2" t="s">
        <v>3067</v>
      </c>
      <c r="D635" s="2" t="str">
        <f>CLEAN("5992-11-03")</f>
        <v>5992-11-03</v>
      </c>
      <c r="E635" s="3" t="str">
        <f>CLEAN("C MADISON  CURB MANAGEMENT PLAN")</f>
        <v>C MADISON  CURB MANAGEMENT PLAN</v>
      </c>
      <c r="F635" s="3" t="str">
        <f>CLEAN("C MADISON  VARIOUS LOACATIONS")</f>
        <v>C MADISON  VARIOUS LOACATIONS</v>
      </c>
      <c r="G635" s="3" t="str">
        <f>CLEAN("PLAN &amp; ADMIN/CURB MANAGEMENT PLAN")</f>
        <v>PLAN &amp; ADMIN/CURB MANAGEMENT PLAN</v>
      </c>
      <c r="H635" s="2" t="str">
        <f>CLEAN("VAR HWY")</f>
        <v>VAR HWY</v>
      </c>
      <c r="I635" s="2" t="str">
        <f>CLEAN("206")</f>
        <v>206</v>
      </c>
    </row>
    <row r="636" spans="1:9" x14ac:dyDescent="0.35">
      <c r="A636" s="2" t="str">
        <f t="shared" si="112"/>
        <v>DANE</v>
      </c>
      <c r="B636" s="2" t="str">
        <f t="shared" si="113"/>
        <v>CITY OF MADISON  ENG DIV</v>
      </c>
      <c r="C636" s="2" t="s">
        <v>2205</v>
      </c>
      <c r="D636" s="2" t="str">
        <f>CLEAN("5992-11-10")</f>
        <v>5992-11-10</v>
      </c>
      <c r="E636" s="3" t="str">
        <f>CLEAN("C OF MADISON  AUTUMN RIDGE PATH")</f>
        <v>C OF MADISON  AUTUMN RIDGE PATH</v>
      </c>
      <c r="F636" s="3" t="str">
        <f>CLEAN("MILWAUKEE STREET TO ZIEGLER ROAD")</f>
        <v>MILWAUKEE STREET TO ZIEGLER ROAD</v>
      </c>
      <c r="G636" s="3" t="str">
        <f>CLEAN("DESIGN/PLAN CHECK REVIEW/RECST")</f>
        <v>DESIGN/PLAN CHECK REVIEW/RECST</v>
      </c>
      <c r="H636" s="2" t="str">
        <f>CLEAN("NON HWY")</f>
        <v>NON HWY</v>
      </c>
      <c r="I636" s="2" t="str">
        <f>CLEAN("290")</f>
        <v>290</v>
      </c>
    </row>
    <row r="637" spans="1:9" x14ac:dyDescent="0.35">
      <c r="A637" s="2" t="str">
        <f t="shared" si="112"/>
        <v>DANE</v>
      </c>
      <c r="B637" s="2" t="str">
        <f t="shared" si="113"/>
        <v>CITY OF MADISON  ENG DIV</v>
      </c>
      <c r="C637" s="2" t="s">
        <v>3040</v>
      </c>
      <c r="D637" s="2" t="str">
        <f>CLEAN("5992-11-11")</f>
        <v>5992-11-11</v>
      </c>
      <c r="E637" s="3" t="str">
        <f>CLEAN("C OF MADISON  AUTUMN RIDGE PATH")</f>
        <v>C OF MADISON  AUTUMN RIDGE PATH</v>
      </c>
      <c r="F637" s="3" t="str">
        <f>CLEAN("MILWAUKEE STREET TO ZIEGLER ROAD")</f>
        <v>MILWAUKEE STREET TO ZIEGLER ROAD</v>
      </c>
      <c r="G637" s="3" t="str">
        <f>CLEAN("PEDESTRIAN/BICYCLE BRIDGE")</f>
        <v>PEDESTRIAN/BICYCLE BRIDGE</v>
      </c>
      <c r="H637" s="2" t="str">
        <f>CLEAN("NON HWY")</f>
        <v>NON HWY</v>
      </c>
      <c r="I637" s="2" t="str">
        <f>CLEAN("206")</f>
        <v>206</v>
      </c>
    </row>
    <row r="638" spans="1:9" x14ac:dyDescent="0.35">
      <c r="A638" s="2" t="str">
        <f t="shared" si="112"/>
        <v>DANE</v>
      </c>
      <c r="B638" s="2" t="str">
        <f t="shared" si="113"/>
        <v>CITY OF MADISON  ENG DIV</v>
      </c>
      <c r="C638" s="2" t="s">
        <v>2220</v>
      </c>
      <c r="D638" s="2" t="str">
        <f>CLEAN("5992-11-12")</f>
        <v>5992-11-12</v>
      </c>
      <c r="E638" s="3" t="str">
        <f>CLEAN("C MADISON  JOHN NOLEN DR/OLIN AVE")</f>
        <v>C MADISON  JOHN NOLEN DR/OLIN AVE</v>
      </c>
      <c r="F638" s="3" t="str">
        <f>CLEAN("USH 12 BELTLINE RAMP TO WINGRA CRK")</f>
        <v>USH 12 BELTLINE RAMP TO WINGRA CRK</v>
      </c>
      <c r="G638" s="3" t="str">
        <f>CLEAN("DESIGN/PLAN CHECK REVIEW/RECST")</f>
        <v>DESIGN/PLAN CHECK REVIEW/RECST</v>
      </c>
      <c r="H638" s="2" t="str">
        <f>CLEAN("CTH MC")</f>
        <v>CTH MC</v>
      </c>
      <c r="I638" s="2" t="str">
        <f>CLEAN("206")</f>
        <v>206</v>
      </c>
    </row>
    <row r="639" spans="1:9" x14ac:dyDescent="0.35">
      <c r="A639" s="2" t="str">
        <f t="shared" si="112"/>
        <v>DANE</v>
      </c>
      <c r="B639" s="2" t="str">
        <f t="shared" si="113"/>
        <v>CITY OF MADISON  ENG DIV</v>
      </c>
      <c r="C639" s="2" t="s">
        <v>2207</v>
      </c>
      <c r="D639" s="2" t="str">
        <f>CLEAN("5992-11-15")</f>
        <v>5992-11-15</v>
      </c>
      <c r="E639" s="3" t="str">
        <f>CLEAN("C MADISON  JOHN NOLEN DRIVE")</f>
        <v>C MADISON  JOHN NOLEN DRIVE</v>
      </c>
      <c r="F639" s="3" t="str">
        <f>CLEAN("OLIN AVENUE TO LAKESIDE STREET")</f>
        <v>OLIN AVENUE TO LAKESIDE STREET</v>
      </c>
      <c r="G639" s="3" t="str">
        <f>CLEAN("DESIGN/PLAN CHECK REVIEW/RECST")</f>
        <v>DESIGN/PLAN CHECK REVIEW/RECST</v>
      </c>
      <c r="H639" s="2" t="str">
        <f t="shared" ref="H639:H648" si="115">CLEAN("LOC STR")</f>
        <v>LOC STR</v>
      </c>
      <c r="I639" s="2" t="str">
        <f>CLEAN("206")</f>
        <v>206</v>
      </c>
    </row>
    <row r="640" spans="1:9" x14ac:dyDescent="0.35">
      <c r="A640" s="2" t="str">
        <f t="shared" si="112"/>
        <v>DANE</v>
      </c>
      <c r="B640" s="2" t="str">
        <f t="shared" si="113"/>
        <v>CITY OF MADISON  ENG DIV</v>
      </c>
      <c r="C640" s="2" t="s">
        <v>2208</v>
      </c>
      <c r="D640" s="2" t="str">
        <f>CLEAN("5992-11-20")</f>
        <v>5992-11-20</v>
      </c>
      <c r="E640" s="3" t="str">
        <f>CLEAN("CITY OF MADISON JOHN NOLEN DRIVE")</f>
        <v>CITY OF MADISON JOHN NOLEN DRIVE</v>
      </c>
      <c r="F640" s="3" t="str">
        <f>CLEAN("OLIN AVENUE TO NORTH SHORE DRIVE")</f>
        <v>OLIN AVENUE TO NORTH SHORE DRIVE</v>
      </c>
      <c r="G640" s="3" t="str">
        <f>CLEAN("DESIGN/PLAN CHECK REVIEW/RECST")</f>
        <v>DESIGN/PLAN CHECK REVIEW/RECST</v>
      </c>
      <c r="H640" s="2" t="str">
        <f t="shared" si="115"/>
        <v>LOC STR</v>
      </c>
      <c r="I640" s="2" t="str">
        <f>CLEAN("206")</f>
        <v>206</v>
      </c>
    </row>
    <row r="641" spans="1:9" x14ac:dyDescent="0.35">
      <c r="A641" s="2" t="str">
        <f t="shared" si="112"/>
        <v>DANE</v>
      </c>
      <c r="B641" s="2" t="str">
        <f t="shared" si="113"/>
        <v>CITY OF MADISON  ENG DIV</v>
      </c>
      <c r="C641" s="2" t="s">
        <v>249</v>
      </c>
      <c r="D641" s="2" t="str">
        <f>CLEAN("5992-11-21")</f>
        <v>5992-11-21</v>
      </c>
      <c r="E641" s="3" t="str">
        <f t="shared" ref="E641:E647" si="116">CLEAN("CITY OF MADISON  JOHN NOLEN DRIVE")</f>
        <v>CITY OF MADISON  JOHN NOLEN DRIVE</v>
      </c>
      <c r="F641" s="3" t="str">
        <f>CLEAN("LAKESIDE ST TO NORTH SHORE DR")</f>
        <v>LAKESIDE ST TO NORTH SHORE DR</v>
      </c>
      <c r="G641" s="3" t="str">
        <f>CLEAN("CONST OPS/RECONSTRUCTION")</f>
        <v>CONST OPS/RECONSTRUCTION</v>
      </c>
      <c r="H641" s="2" t="str">
        <f t="shared" si="115"/>
        <v>LOC STR</v>
      </c>
      <c r="I641" s="2" t="str">
        <f>CLEAN("206")</f>
        <v>206</v>
      </c>
    </row>
    <row r="642" spans="1:9" x14ac:dyDescent="0.35">
      <c r="A642" s="2" t="str">
        <f t="shared" si="112"/>
        <v>DANE</v>
      </c>
      <c r="B642" s="2" t="str">
        <f t="shared" si="113"/>
        <v>CITY OF MADISON  ENG DIV</v>
      </c>
      <c r="C642" s="2" t="s">
        <v>116</v>
      </c>
      <c r="D642" s="2" t="str">
        <f>CLEAN("5992-11-22")</f>
        <v>5992-11-22</v>
      </c>
      <c r="E642" s="3" t="str">
        <f t="shared" si="116"/>
        <v>CITY OF MADISON  JOHN NOLEN DRIVE</v>
      </c>
      <c r="F642" s="3" t="str">
        <f>CLEAN("MONONA BAY BRIDGE B-13-930 SB")</f>
        <v>MONONA BAY BRIDGE B-13-930 SB</v>
      </c>
      <c r="G642" s="3" t="str">
        <f>CLEAN("CONST OPS/BRIDGE REPLACEMENT")</f>
        <v>CONST OPS/BRIDGE REPLACEMENT</v>
      </c>
      <c r="H642" s="2" t="str">
        <f t="shared" si="115"/>
        <v>LOC STR</v>
      </c>
      <c r="I642" s="2" t="str">
        <f t="shared" ref="I642:I647" si="117">CLEAN("205")</f>
        <v>205</v>
      </c>
    </row>
    <row r="643" spans="1:9" x14ac:dyDescent="0.35">
      <c r="A643" s="2" t="str">
        <f t="shared" si="112"/>
        <v>DANE</v>
      </c>
      <c r="B643" s="2" t="str">
        <f t="shared" si="113"/>
        <v>CITY OF MADISON  ENG DIV</v>
      </c>
      <c r="C643" s="2" t="s">
        <v>115</v>
      </c>
      <c r="D643" s="2" t="str">
        <f>CLEAN("5992-11-23")</f>
        <v>5992-11-23</v>
      </c>
      <c r="E643" s="3" t="str">
        <f t="shared" si="116"/>
        <v>CITY OF MADISON  JOHN NOLEN DRIVE</v>
      </c>
      <c r="F643" s="3" t="str">
        <f>CLEAN("MONONA BAY BRIDGE B-13-930 NB")</f>
        <v>MONONA BAY BRIDGE B-13-930 NB</v>
      </c>
      <c r="G643" s="3" t="str">
        <f>CLEAN("CONST OPS/BRIDGE REPLACEMENT")</f>
        <v>CONST OPS/BRIDGE REPLACEMENT</v>
      </c>
      <c r="H643" s="2" t="str">
        <f t="shared" si="115"/>
        <v>LOC STR</v>
      </c>
      <c r="I643" s="2" t="str">
        <f t="shared" si="117"/>
        <v>205</v>
      </c>
    </row>
    <row r="644" spans="1:9" x14ac:dyDescent="0.35">
      <c r="A644" s="2" t="str">
        <f t="shared" si="112"/>
        <v>DANE</v>
      </c>
      <c r="B644" s="2" t="str">
        <f t="shared" si="113"/>
        <v>CITY OF MADISON  ENG DIV</v>
      </c>
      <c r="C644" s="2" t="s">
        <v>444</v>
      </c>
      <c r="D644" s="2" t="str">
        <f>CLEAN("5992-11-24")</f>
        <v>5992-11-24</v>
      </c>
      <c r="E644" s="3" t="str">
        <f t="shared" si="116"/>
        <v>CITY OF MADISON  JOHN NOLEN DRIVE</v>
      </c>
      <c r="F644" s="3" t="str">
        <f>CLEAN("LAKE MONONA BRIDGE B-13-0924 NB")</f>
        <v>LAKE MONONA BRIDGE B-13-0924 NB</v>
      </c>
      <c r="G644" s="3" t="str">
        <f>CLEAN("CONST/BRIDGE REPLACEMENT")</f>
        <v>CONST/BRIDGE REPLACEMENT</v>
      </c>
      <c r="H644" s="2" t="str">
        <f t="shared" si="115"/>
        <v>LOC STR</v>
      </c>
      <c r="I644" s="2" t="str">
        <f t="shared" si="117"/>
        <v>205</v>
      </c>
    </row>
    <row r="645" spans="1:9" x14ac:dyDescent="0.35">
      <c r="A645" s="2" t="str">
        <f t="shared" si="112"/>
        <v>DANE</v>
      </c>
      <c r="B645" s="2" t="str">
        <f t="shared" si="113"/>
        <v>CITY OF MADISON  ENG DIV</v>
      </c>
      <c r="C645" s="2" t="s">
        <v>445</v>
      </c>
      <c r="D645" s="2" t="str">
        <f>CLEAN("5992-11-25")</f>
        <v>5992-11-25</v>
      </c>
      <c r="E645" s="3" t="str">
        <f t="shared" si="116"/>
        <v>CITY OF MADISON  JOHN NOLEN DRIVE</v>
      </c>
      <c r="F645" s="3" t="str">
        <f>CLEAN("LAKE MONONA BRIDGE B-13-0924 SB")</f>
        <v>LAKE MONONA BRIDGE B-13-0924 SB</v>
      </c>
      <c r="G645" s="3" t="str">
        <f>CLEAN("CONST/BRIDGE REPLACEMENT")</f>
        <v>CONST/BRIDGE REPLACEMENT</v>
      </c>
      <c r="H645" s="2" t="str">
        <f t="shared" si="115"/>
        <v>LOC STR</v>
      </c>
      <c r="I645" s="2" t="str">
        <f t="shared" si="117"/>
        <v>205</v>
      </c>
    </row>
    <row r="646" spans="1:9" x14ac:dyDescent="0.35">
      <c r="A646" s="2" t="str">
        <f t="shared" si="112"/>
        <v>DANE</v>
      </c>
      <c r="B646" s="2" t="str">
        <f t="shared" si="113"/>
        <v>CITY OF MADISON  ENG DIV</v>
      </c>
      <c r="C646" s="2" t="s">
        <v>446</v>
      </c>
      <c r="D646" s="2" t="str">
        <f>CLEAN("5992-11-26")</f>
        <v>5992-11-26</v>
      </c>
      <c r="E646" s="3" t="str">
        <f t="shared" si="116"/>
        <v>CITY OF MADISON  JOHN NOLEN DRIVE</v>
      </c>
      <c r="F646" s="3" t="str">
        <f>CLEAN("LAKE MONONA BRIDGE B-13-0926 NB")</f>
        <v>LAKE MONONA BRIDGE B-13-0926 NB</v>
      </c>
      <c r="G646" s="3" t="str">
        <f>CLEAN("CONST/BRIDGE REPLACEMENT")</f>
        <v>CONST/BRIDGE REPLACEMENT</v>
      </c>
      <c r="H646" s="2" t="str">
        <f t="shared" si="115"/>
        <v>LOC STR</v>
      </c>
      <c r="I646" s="2" t="str">
        <f t="shared" si="117"/>
        <v>205</v>
      </c>
    </row>
    <row r="647" spans="1:9" x14ac:dyDescent="0.35">
      <c r="A647" s="2" t="str">
        <f t="shared" si="112"/>
        <v>DANE</v>
      </c>
      <c r="B647" s="2" t="str">
        <f t="shared" si="113"/>
        <v>CITY OF MADISON  ENG DIV</v>
      </c>
      <c r="C647" s="2" t="s">
        <v>447</v>
      </c>
      <c r="D647" s="2" t="str">
        <f>CLEAN("5992-11-27")</f>
        <v>5992-11-27</v>
      </c>
      <c r="E647" s="3" t="str">
        <f t="shared" si="116"/>
        <v>CITY OF MADISON  JOHN NOLEN DRIVE</v>
      </c>
      <c r="F647" s="3" t="str">
        <f>CLEAN("LAKE MONONA BRIDGE B-13-0926 SB")</f>
        <v>LAKE MONONA BRIDGE B-13-0926 SB</v>
      </c>
      <c r="G647" s="3" t="str">
        <f>CLEAN("CONST/BRIDGE REPLACEMENT")</f>
        <v>CONST/BRIDGE REPLACEMENT</v>
      </c>
      <c r="H647" s="2" t="str">
        <f t="shared" si="115"/>
        <v>LOC STR</v>
      </c>
      <c r="I647" s="2" t="str">
        <f t="shared" si="117"/>
        <v>205</v>
      </c>
    </row>
    <row r="648" spans="1:9" x14ac:dyDescent="0.35">
      <c r="A648" s="2" t="str">
        <f t="shared" si="112"/>
        <v>DANE</v>
      </c>
      <c r="B648" s="2" t="str">
        <f t="shared" si="113"/>
        <v>CITY OF MADISON  ENG DIV</v>
      </c>
      <c r="C648" s="2" t="s">
        <v>248</v>
      </c>
      <c r="D648" s="2" t="str">
        <f>CLEAN("5992-11-28")</f>
        <v>5992-11-28</v>
      </c>
      <c r="E648" s="3" t="str">
        <f>CLEAN("C MADISON  JOHN NOLEN DRIVE")</f>
        <v>C MADISON  JOHN NOLEN DRIVE</v>
      </c>
      <c r="F648" s="3" t="str">
        <f>CLEAN("LAKESIDE ST TO NORTH SHORE DR")</f>
        <v>LAKESIDE ST TO NORTH SHORE DR</v>
      </c>
      <c r="G648" s="3" t="str">
        <f>CLEAN("CONST OPS/RECONSTRUCTION")</f>
        <v>CONST OPS/RECONSTRUCTION</v>
      </c>
      <c r="H648" s="2" t="str">
        <f t="shared" si="115"/>
        <v>LOC STR</v>
      </c>
      <c r="I648" s="2" t="str">
        <f>CLEAN("206")</f>
        <v>206</v>
      </c>
    </row>
    <row r="649" spans="1:9" x14ac:dyDescent="0.35">
      <c r="A649" s="2" t="str">
        <f t="shared" si="112"/>
        <v>DANE</v>
      </c>
      <c r="B649" s="2" t="str">
        <f t="shared" si="113"/>
        <v>CITY OF MADISON  ENG DIV</v>
      </c>
      <c r="C649" s="2" t="s">
        <v>1026</v>
      </c>
      <c r="D649" s="2" t="str">
        <f>CLEAN("3080-01-40")</f>
        <v>3080-01-40</v>
      </c>
      <c r="E649" s="3" t="str">
        <f>CLEAN("MADISON - CAMBRIDGE")</f>
        <v>MADISON - CAMBRIDGE</v>
      </c>
      <c r="F649" s="3" t="str">
        <f>CLEAN("CTH AB OVERPASS")</f>
        <v>CTH AB OVERPASS</v>
      </c>
      <c r="G649" s="3" t="str">
        <f>CLEAN("CONST/SANITARY  WATER  FIBER/MIS")</f>
        <v>CONST/SANITARY  WATER  FIBER/MIS</v>
      </c>
      <c r="H649" s="2" t="str">
        <f>CLEAN("USH 012")</f>
        <v>USH 012</v>
      </c>
      <c r="I649" s="2" t="str">
        <f>CLEAN("303")</f>
        <v>303</v>
      </c>
    </row>
    <row r="650" spans="1:9" x14ac:dyDescent="0.35">
      <c r="A650" s="2" t="str">
        <f t="shared" si="112"/>
        <v>DANE</v>
      </c>
      <c r="B650" s="2" t="str">
        <f t="shared" si="113"/>
        <v>CITY OF MADISON  ENG DIV</v>
      </c>
      <c r="C650" s="2" t="s">
        <v>1334</v>
      </c>
      <c r="D650" s="2" t="str">
        <f>CLEAN("3080-01-76")</f>
        <v>3080-01-76</v>
      </c>
      <c r="E650" s="3" t="str">
        <f>CLEAN("MADISON - CAMBRIDGE")</f>
        <v>MADISON - CAMBRIDGE</v>
      </c>
      <c r="F650" s="3" t="str">
        <f>CLEAN("CTH AB INTERCHANGE")</f>
        <v>CTH AB INTERCHANGE</v>
      </c>
      <c r="G650" s="3" t="str">
        <f>CLEAN("CONSTRUCTION/RECSTE")</f>
        <v>CONSTRUCTION/RECSTE</v>
      </c>
      <c r="H650" s="2" t="str">
        <f>CLEAN("USH 012")</f>
        <v>USH 012</v>
      </c>
      <c r="I650" s="2" t="str">
        <f>CLEAN("303")</f>
        <v>303</v>
      </c>
    </row>
    <row r="651" spans="1:9" x14ac:dyDescent="0.35">
      <c r="A651" s="2" t="str">
        <f t="shared" ref="A651:A682" si="118">CLEAN("DANE")</f>
        <v>DANE</v>
      </c>
      <c r="B651" s="2" t="str">
        <f t="shared" ref="B651:B682" si="119">CLEAN("CITY OF MADISON  ENG DIV")</f>
        <v>CITY OF MADISON  ENG DIV</v>
      </c>
      <c r="C651" s="2" t="s">
        <v>2562</v>
      </c>
      <c r="D651" s="2" t="str">
        <f>CLEAN("3700-10-77")</f>
        <v>3700-10-77</v>
      </c>
      <c r="E651" s="3" t="str">
        <f>CLEAN("C MADISON  EAST WASHINGTON AVE")</f>
        <v>C MADISON  EAST WASHINGTON AVE</v>
      </c>
      <c r="F651" s="3" t="str">
        <f>CLEAN("BLAIR STREET - EAST SPRINGS DRIVE")</f>
        <v>BLAIR STREET - EAST SPRINGS DRIVE</v>
      </c>
      <c r="G651" s="3" t="str">
        <f>CLEAN("LFA/DETECTION SYSTEM UPGRADES FY20")</f>
        <v>LFA/DETECTION SYSTEM UPGRADES FY20</v>
      </c>
      <c r="H651" s="2" t="str">
        <f t="shared" ref="H651:H656" si="120">CLEAN("USH 151")</f>
        <v>USH 151</v>
      </c>
      <c r="I651" s="2" t="str">
        <f>CLEAN("305")</f>
        <v>305</v>
      </c>
    </row>
    <row r="652" spans="1:9" x14ac:dyDescent="0.35">
      <c r="A652" s="2" t="str">
        <f t="shared" si="118"/>
        <v>DANE</v>
      </c>
      <c r="B652" s="2" t="str">
        <f t="shared" si="119"/>
        <v>CITY OF MADISON  ENG DIV</v>
      </c>
      <c r="C652" s="2" t="s">
        <v>3410</v>
      </c>
      <c r="D652" s="2" t="str">
        <f>CLEAN("3710-27-60")</f>
        <v>3710-27-60</v>
      </c>
      <c r="E652" s="3" t="str">
        <f>CLEAN("CITY OF MADISON")</f>
        <v>CITY OF MADISON</v>
      </c>
      <c r="F652" s="3" t="str">
        <f>CLEAN("USH 12/18 TO IH 39/90/94")</f>
        <v>USH 12/18 TO IH 39/90/94</v>
      </c>
      <c r="G652" s="3" t="str">
        <f>CLEAN("TRF/SIGNAL UPGRADE/ITS")</f>
        <v>TRF/SIGNAL UPGRADE/ITS</v>
      </c>
      <c r="H652" s="2" t="str">
        <f t="shared" si="120"/>
        <v>USH 151</v>
      </c>
      <c r="I652" s="2" t="str">
        <f>CLEAN("305")</f>
        <v>305</v>
      </c>
    </row>
    <row r="653" spans="1:9" x14ac:dyDescent="0.35">
      <c r="A653" s="2" t="str">
        <f t="shared" si="118"/>
        <v>DANE</v>
      </c>
      <c r="B653" s="2" t="str">
        <f t="shared" si="119"/>
        <v>CITY OF MADISON  ENG DIV</v>
      </c>
      <c r="C653" s="2" t="s">
        <v>1398</v>
      </c>
      <c r="D653" s="2" t="str">
        <f>CLEAN("5400-00-01")</f>
        <v>5400-00-01</v>
      </c>
      <c r="E653" s="3" t="str">
        <f>CLEAN("C MADISON  PARK STREET")</f>
        <v>C MADISON  PARK STREET</v>
      </c>
      <c r="F653" s="3" t="str">
        <f>CLEAN("WSOR CROSSING TO OLIN AVENUE")</f>
        <v>WSOR CROSSING TO OLIN AVENUE</v>
      </c>
      <c r="G653" s="3" t="str">
        <f>CLEAN("DES-FULL PS&amp;E/PVRPLA")</f>
        <v>DES-FULL PS&amp;E/PVRPLA</v>
      </c>
      <c r="H653" s="2" t="str">
        <f t="shared" si="120"/>
        <v>USH 151</v>
      </c>
      <c r="I653" s="2" t="str">
        <f t="shared" ref="I653:I658" si="121">CLEAN("303")</f>
        <v>303</v>
      </c>
    </row>
    <row r="654" spans="1:9" x14ac:dyDescent="0.35">
      <c r="A654" s="2" t="str">
        <f t="shared" si="118"/>
        <v>DANE</v>
      </c>
      <c r="B654" s="2" t="str">
        <f t="shared" si="119"/>
        <v>CITY OF MADISON  ENG DIV</v>
      </c>
      <c r="C654" s="2" t="s">
        <v>1088</v>
      </c>
      <c r="D654" s="2" t="str">
        <f>CLEAN("5400-00-72")</f>
        <v>5400-00-72</v>
      </c>
      <c r="E654" s="3" t="str">
        <f>CLEAN("C MADISON  S BLAIR ST/JOHN NOLAN DR")</f>
        <v>C MADISON  S BLAIR ST/JOHN NOLAN DR</v>
      </c>
      <c r="F654" s="3" t="str">
        <f>CLEAN("WILSON/WILLIAMSON ST INTERSECTION")</f>
        <v>WILSON/WILLIAMSON ST INTERSECTION</v>
      </c>
      <c r="G654" s="3" t="str">
        <f>CLEAN("CONST/TURN LANES")</f>
        <v>CONST/TURN LANES</v>
      </c>
      <c r="H654" s="2" t="str">
        <f t="shared" si="120"/>
        <v>USH 151</v>
      </c>
      <c r="I654" s="2" t="str">
        <f t="shared" si="121"/>
        <v>303</v>
      </c>
    </row>
    <row r="655" spans="1:9" x14ac:dyDescent="0.35">
      <c r="A655" s="2" t="str">
        <f t="shared" si="118"/>
        <v>DANE</v>
      </c>
      <c r="B655" s="2" t="str">
        <f t="shared" si="119"/>
        <v>CITY OF MADISON  ENG DIV</v>
      </c>
      <c r="C655" s="2" t="s">
        <v>1307</v>
      </c>
      <c r="D655" s="2" t="str">
        <f>CLEAN("5400-00-73")</f>
        <v>5400-00-73</v>
      </c>
      <c r="E655" s="3" t="str">
        <f>CLEAN("C MADISON  BLAIR ST/E WASHINGTON AV")</f>
        <v>C MADISON  BLAIR ST/E WASHINGTON AV</v>
      </c>
      <c r="F655" s="3" t="str">
        <f>CLEAN("E WILSON ST TO BLOUNT ST")</f>
        <v>E WILSON ST TO BLOUNT ST</v>
      </c>
      <c r="G655" s="3" t="str">
        <f>CLEAN("CONSTRUCTION/PVRPLA")</f>
        <v>CONSTRUCTION/PVRPLA</v>
      </c>
      <c r="H655" s="2" t="str">
        <f t="shared" si="120"/>
        <v>USH 151</v>
      </c>
      <c r="I655" s="2" t="str">
        <f t="shared" si="121"/>
        <v>303</v>
      </c>
    </row>
    <row r="656" spans="1:9" x14ac:dyDescent="0.35">
      <c r="A656" s="2" t="str">
        <f t="shared" si="118"/>
        <v>DANE</v>
      </c>
      <c r="B656" s="2" t="str">
        <f t="shared" si="119"/>
        <v>CITY OF MADISON  ENG DIV</v>
      </c>
      <c r="C656" s="2" t="s">
        <v>1383</v>
      </c>
      <c r="D656" s="2" t="str">
        <f>CLEAN("5400-00-74")</f>
        <v>5400-00-74</v>
      </c>
      <c r="E656" s="3" t="str">
        <f>CLEAN("C MADISON  BLAIR ST/E WASHINGTON AV")</f>
        <v>C MADISON  BLAIR ST/E WASHINGTON AV</v>
      </c>
      <c r="F656" s="3" t="str">
        <f>CLEAN("E WILSON ST TO BLOUNT ST")</f>
        <v>E WILSON ST TO BLOUNT ST</v>
      </c>
      <c r="G656" s="3" t="str">
        <f>CLEAN("CONSTURCTION/PVRPLA")</f>
        <v>CONSTURCTION/PVRPLA</v>
      </c>
      <c r="H656" s="2" t="str">
        <f t="shared" si="120"/>
        <v>USH 151</v>
      </c>
      <c r="I656" s="2" t="str">
        <f t="shared" si="121"/>
        <v>303</v>
      </c>
    </row>
    <row r="657" spans="1:9" x14ac:dyDescent="0.35">
      <c r="A657" s="2" t="str">
        <f t="shared" si="118"/>
        <v>DANE</v>
      </c>
      <c r="B657" s="2" t="str">
        <f t="shared" si="119"/>
        <v>CITY OF MADISON  ENG DIV</v>
      </c>
      <c r="C657" s="2" t="s">
        <v>3137</v>
      </c>
      <c r="D657" s="2" t="str">
        <f>CLEAN("5410-00-25")</f>
        <v>5410-00-25</v>
      </c>
      <c r="E657" s="3" t="str">
        <f>CLEAN("MADISON - DEFOREST")</f>
        <v>MADISON - DEFOREST</v>
      </c>
      <c r="F657" s="3" t="str">
        <f>CLEAN("USH 151 TO PIERSTORFF STREET")</f>
        <v>USH 151 TO PIERSTORFF STREET</v>
      </c>
      <c r="G657" s="3" t="str">
        <f>CLEAN("RE/MISC/CONS 5410-00-74/TLE EXHIBIT")</f>
        <v>RE/MISC/CONS 5410-00-74/TLE EXHIBIT</v>
      </c>
      <c r="H657" s="2" t="str">
        <f>CLEAN("USH 051")</f>
        <v>USH 051</v>
      </c>
      <c r="I657" s="2" t="str">
        <f t="shared" si="121"/>
        <v>303</v>
      </c>
    </row>
    <row r="658" spans="1:9" x14ac:dyDescent="0.35">
      <c r="A658" s="2" t="str">
        <f t="shared" si="118"/>
        <v>DANE</v>
      </c>
      <c r="B658" s="2" t="str">
        <f t="shared" si="119"/>
        <v>CITY OF MADISON  ENG DIV</v>
      </c>
      <c r="C658" s="2" t="s">
        <v>873</v>
      </c>
      <c r="D658" s="2" t="str">
        <f>CLEAN("5410-00-74")</f>
        <v>5410-00-74</v>
      </c>
      <c r="E658" s="3" t="str">
        <f>CLEAN("MADISON - DEFOREST")</f>
        <v>MADISON - DEFOREST</v>
      </c>
      <c r="F658" s="3" t="str">
        <f>CLEAN("USH 151 TO PIERSTORFF STREET")</f>
        <v>USH 151 TO PIERSTORFF STREET</v>
      </c>
      <c r="G658" s="3" t="str">
        <f>CLEAN("CONST/REPLACE PAVEMENT NB/PVRPLA")</f>
        <v>CONST/REPLACE PAVEMENT NB/PVRPLA</v>
      </c>
      <c r="H658" s="2" t="str">
        <f>CLEAN("USH 051")</f>
        <v>USH 051</v>
      </c>
      <c r="I658" s="2" t="str">
        <f t="shared" si="121"/>
        <v>303</v>
      </c>
    </row>
    <row r="659" spans="1:9" x14ac:dyDescent="0.35">
      <c r="A659" s="2" t="str">
        <f t="shared" si="118"/>
        <v>DANE</v>
      </c>
      <c r="B659" s="2" t="str">
        <f t="shared" si="119"/>
        <v>CITY OF MADISON  ENG DIV</v>
      </c>
      <c r="C659" s="2" t="s">
        <v>1400</v>
      </c>
      <c r="D659" s="2" t="str">
        <f>CLEAN("5992-02-00")</f>
        <v>5992-02-00</v>
      </c>
      <c r="E659" s="3" t="str">
        <f>CLEAN("C MADISON  E RUSK AVE PATH")</f>
        <v>C MADISON  E RUSK AVE PATH</v>
      </c>
      <c r="F659" s="3" t="str">
        <f>CLEAN("N RUSK AVE TO RIMROCK RD")</f>
        <v>N RUSK AVE TO RIMROCK RD</v>
      </c>
      <c r="G659" s="3" t="str">
        <f>CLEAN("DESGIN/PLAN CHECK REVIEW")</f>
        <v>DESGIN/PLAN CHECK REVIEW</v>
      </c>
      <c r="H659" s="2" t="str">
        <f t="shared" ref="H659:H670" si="122">CLEAN("NON HWY")</f>
        <v>NON HWY</v>
      </c>
      <c r="I659" s="2" t="str">
        <f>CLEAN("290")</f>
        <v>290</v>
      </c>
    </row>
    <row r="660" spans="1:9" x14ac:dyDescent="0.35">
      <c r="A660" s="2" t="str">
        <f t="shared" si="118"/>
        <v>DANE</v>
      </c>
      <c r="B660" s="2" t="str">
        <f t="shared" si="119"/>
        <v>CITY OF MADISON  ENG DIV</v>
      </c>
      <c r="C660" s="2" t="s">
        <v>2529</v>
      </c>
      <c r="D660" s="2" t="str">
        <f>CLEAN("5992-08-38")</f>
        <v>5992-08-38</v>
      </c>
      <c r="E660" s="3" t="str">
        <f>CLEAN("RIDESHARE COORDINATOR - 2021")</f>
        <v>RIDESHARE COORDINATOR - 2021</v>
      </c>
      <c r="F660" s="3" t="str">
        <f>CLEAN("MADISON AREA MPO")</f>
        <v>MADISON AREA MPO</v>
      </c>
      <c r="G660" s="3" t="str">
        <f>CLEAN("FUNDING FOR CALENDAR YEAR 2021")</f>
        <v>FUNDING FOR CALENDAR YEAR 2021</v>
      </c>
      <c r="H660" s="2" t="str">
        <f t="shared" si="122"/>
        <v>NON HWY</v>
      </c>
      <c r="I660" s="2" t="str">
        <f t="shared" ref="I660:I674" si="123">CLEAN("206")</f>
        <v>206</v>
      </c>
    </row>
    <row r="661" spans="1:9" x14ac:dyDescent="0.35">
      <c r="A661" s="2" t="str">
        <f t="shared" si="118"/>
        <v>DANE</v>
      </c>
      <c r="B661" s="2" t="str">
        <f t="shared" si="119"/>
        <v>CITY OF MADISON  ENG DIV</v>
      </c>
      <c r="C661" s="2" t="s">
        <v>2530</v>
      </c>
      <c r="D661" s="2" t="str">
        <f>CLEAN("5992-08-39")</f>
        <v>5992-08-39</v>
      </c>
      <c r="E661" s="3" t="str">
        <f>CLEAN("RIDESHARE COORDINATOR - 2022")</f>
        <v>RIDESHARE COORDINATOR - 2022</v>
      </c>
      <c r="F661" s="3" t="str">
        <f>CLEAN("CITY OF MADISON 2022 - JUNE 2023")</f>
        <v>CITY OF MADISON 2022 - JUNE 2023</v>
      </c>
      <c r="G661" s="3" t="str">
        <f>CLEAN("FUNDING FOR CALENDAR YEAR 2022")</f>
        <v>FUNDING FOR CALENDAR YEAR 2022</v>
      </c>
      <c r="H661" s="2" t="str">
        <f t="shared" si="122"/>
        <v>NON HWY</v>
      </c>
      <c r="I661" s="2" t="str">
        <f t="shared" si="123"/>
        <v>206</v>
      </c>
    </row>
    <row r="662" spans="1:9" x14ac:dyDescent="0.35">
      <c r="A662" s="2" t="str">
        <f t="shared" si="118"/>
        <v>DANE</v>
      </c>
      <c r="B662" s="2" t="str">
        <f t="shared" si="119"/>
        <v>CITY OF MADISON  ENG DIV</v>
      </c>
      <c r="C662" s="2" t="s">
        <v>2536</v>
      </c>
      <c r="D662" s="2" t="str">
        <f>CLEAN("5992-08-48")</f>
        <v>5992-08-48</v>
      </c>
      <c r="E662" s="3" t="str">
        <f>CLEAN("PEDESTRIAN BIKE SAFETY EDUCATION")</f>
        <v>PEDESTRIAN BIKE SAFETY EDUCATION</v>
      </c>
      <c r="F662" s="3" t="str">
        <f>CLEAN("CITY OF MADISON - 2023")</f>
        <v>CITY OF MADISON - 2023</v>
      </c>
      <c r="G662" s="3" t="str">
        <f>CLEAN("FUNDING FOR CALENDAR YR 2023/2024")</f>
        <v>FUNDING FOR CALENDAR YR 2023/2024</v>
      </c>
      <c r="H662" s="2" t="str">
        <f t="shared" si="122"/>
        <v>NON HWY</v>
      </c>
      <c r="I662" s="2" t="str">
        <f t="shared" si="123"/>
        <v>206</v>
      </c>
    </row>
    <row r="663" spans="1:9" x14ac:dyDescent="0.35">
      <c r="A663" s="2" t="str">
        <f t="shared" si="118"/>
        <v>DANE</v>
      </c>
      <c r="B663" s="2" t="str">
        <f t="shared" si="119"/>
        <v>CITY OF MADISON  ENG DIV</v>
      </c>
      <c r="C663" s="2" t="s">
        <v>2537</v>
      </c>
      <c r="D663" s="2" t="str">
        <f>CLEAN("5992-08-49")</f>
        <v>5992-08-49</v>
      </c>
      <c r="E663" s="3" t="str">
        <f>CLEAN("PEDESTRIAN BIKE SAFETY EDUCATION")</f>
        <v>PEDESTRIAN BIKE SAFETY EDUCATION</v>
      </c>
      <c r="F663" s="3" t="str">
        <f>CLEAN("CITY OF MADISON - 2024")</f>
        <v>CITY OF MADISON - 2024</v>
      </c>
      <c r="G663" s="3" t="str">
        <f>CLEAN("FUNDING FOR CALENDAR YR 2024/2025")</f>
        <v>FUNDING FOR CALENDAR YR 2024/2025</v>
      </c>
      <c r="H663" s="2" t="str">
        <f t="shared" si="122"/>
        <v>NON HWY</v>
      </c>
      <c r="I663" s="2" t="str">
        <f t="shared" si="123"/>
        <v>206</v>
      </c>
    </row>
    <row r="664" spans="1:9" x14ac:dyDescent="0.35">
      <c r="A664" s="2" t="str">
        <f t="shared" si="118"/>
        <v>DANE</v>
      </c>
      <c r="B664" s="2" t="str">
        <f t="shared" si="119"/>
        <v>CITY OF MADISON  ENG DIV</v>
      </c>
      <c r="C664" s="2" t="s">
        <v>2538</v>
      </c>
      <c r="D664" s="2" t="str">
        <f>CLEAN("5992-08-50")</f>
        <v>5992-08-50</v>
      </c>
      <c r="E664" s="3" t="str">
        <f>CLEAN("PEDESTRIAN BIKE SAFETY EDUCATION")</f>
        <v>PEDESTRIAN BIKE SAFETY EDUCATION</v>
      </c>
      <c r="F664" s="3" t="str">
        <f>CLEAN("CITY OF MADISON - 2025")</f>
        <v>CITY OF MADISON - 2025</v>
      </c>
      <c r="G664" s="3" t="str">
        <f>CLEAN("FUNDING FOR CALENDAR YR 2025/2026")</f>
        <v>FUNDING FOR CALENDAR YR 2025/2026</v>
      </c>
      <c r="H664" s="2" t="str">
        <f t="shared" si="122"/>
        <v>NON HWY</v>
      </c>
      <c r="I664" s="2" t="str">
        <f t="shared" si="123"/>
        <v>206</v>
      </c>
    </row>
    <row r="665" spans="1:9" x14ac:dyDescent="0.35">
      <c r="A665" s="2" t="str">
        <f t="shared" si="118"/>
        <v>DANE</v>
      </c>
      <c r="B665" s="2" t="str">
        <f t="shared" si="119"/>
        <v>CITY OF MADISON  ENG DIV</v>
      </c>
      <c r="C665" s="2" t="s">
        <v>2531</v>
      </c>
      <c r="D665" s="2" t="str">
        <f>CLEAN("5992-08-52")</f>
        <v>5992-08-52</v>
      </c>
      <c r="E665" s="3" t="str">
        <f>CLEAN("RIDESHARE/TDM PROGRAM 2024")</f>
        <v>RIDESHARE/TDM PROGRAM 2024</v>
      </c>
      <c r="F665" s="3" t="str">
        <f>CLEAN("MADISON AREA MPO")</f>
        <v>MADISON AREA MPO</v>
      </c>
      <c r="G665" s="3" t="str">
        <f>CLEAN("FUNDING FOR CALENDAR YEAR 2024/2025")</f>
        <v>FUNDING FOR CALENDAR YEAR 2024/2025</v>
      </c>
      <c r="H665" s="2" t="str">
        <f t="shared" si="122"/>
        <v>NON HWY</v>
      </c>
      <c r="I665" s="2" t="str">
        <f t="shared" si="123"/>
        <v>206</v>
      </c>
    </row>
    <row r="666" spans="1:9" x14ac:dyDescent="0.35">
      <c r="A666" s="2" t="str">
        <f t="shared" si="118"/>
        <v>DANE</v>
      </c>
      <c r="B666" s="2" t="str">
        <f t="shared" si="119"/>
        <v>CITY OF MADISON  ENG DIV</v>
      </c>
      <c r="C666" s="2" t="s">
        <v>2528</v>
      </c>
      <c r="D666" s="2" t="str">
        <f>CLEAN("5992-08-53")</f>
        <v>5992-08-53</v>
      </c>
      <c r="E666" s="3" t="str">
        <f>CLEAN("RIDESHARE/TDM PROGRAM 2025")</f>
        <v>RIDESHARE/TDM PROGRAM 2025</v>
      </c>
      <c r="F666" s="3" t="str">
        <f>CLEAN("MADISON AREA MPO")</f>
        <v>MADISON AREA MPO</v>
      </c>
      <c r="G666" s="3" t="str">
        <f>CLEAN("FUNDING FOR CALENDAR 2025/2026")</f>
        <v>FUNDING FOR CALENDAR 2025/2026</v>
      </c>
      <c r="H666" s="2" t="str">
        <f t="shared" si="122"/>
        <v>NON HWY</v>
      </c>
      <c r="I666" s="2" t="str">
        <f t="shared" si="123"/>
        <v>206</v>
      </c>
    </row>
    <row r="667" spans="1:9" x14ac:dyDescent="0.35">
      <c r="A667" s="2" t="str">
        <f t="shared" si="118"/>
        <v>DANE</v>
      </c>
      <c r="B667" s="2" t="str">
        <f t="shared" si="119"/>
        <v>CITY OF MADISON  ENG DIV</v>
      </c>
      <c r="C667" s="2" t="s">
        <v>2533</v>
      </c>
      <c r="D667" s="2" t="str">
        <f>CLEAN("5992-08-54")</f>
        <v>5992-08-54</v>
      </c>
      <c r="E667" s="3" t="str">
        <f>CLEAN("RIDESHARE/TDM PROGRAM 2026")</f>
        <v>RIDESHARE/TDM PROGRAM 2026</v>
      </c>
      <c r="F667" s="3" t="str">
        <f>CLEAN("MADISON MPO AREA 2026 - JUNE 2027")</f>
        <v>MADISON MPO AREA 2026 - JUNE 2027</v>
      </c>
      <c r="G667" s="3" t="str">
        <f>CLEAN("FUNDING FOR CALENDAR YEAR 2026")</f>
        <v>FUNDING FOR CALENDAR YEAR 2026</v>
      </c>
      <c r="H667" s="2" t="str">
        <f t="shared" si="122"/>
        <v>NON HWY</v>
      </c>
      <c r="I667" s="2" t="str">
        <f t="shared" si="123"/>
        <v>206</v>
      </c>
    </row>
    <row r="668" spans="1:9" x14ac:dyDescent="0.35">
      <c r="A668" s="2" t="str">
        <f t="shared" si="118"/>
        <v>DANE</v>
      </c>
      <c r="B668" s="2" t="str">
        <f t="shared" si="119"/>
        <v>CITY OF MADISON  ENG DIV</v>
      </c>
      <c r="C668" s="2" t="s">
        <v>2535</v>
      </c>
      <c r="D668" s="2" t="str">
        <f>CLEAN("5992-08-55")</f>
        <v>5992-08-55</v>
      </c>
      <c r="E668" s="3" t="str">
        <f>CLEAN("RIDESHARE/TDM PROGRAM 2027")</f>
        <v>RIDESHARE/TDM PROGRAM 2027</v>
      </c>
      <c r="F668" s="3" t="str">
        <f>CLEAN("MADISON MPO AREA 2027 - JUNE 2028")</f>
        <v>MADISON MPO AREA 2027 - JUNE 2028</v>
      </c>
      <c r="G668" s="3" t="str">
        <f>CLEAN("FUNDING FOR CALENDAR YEAR 2027")</f>
        <v>FUNDING FOR CALENDAR YEAR 2027</v>
      </c>
      <c r="H668" s="2" t="str">
        <f t="shared" si="122"/>
        <v>NON HWY</v>
      </c>
      <c r="I668" s="2" t="str">
        <f t="shared" si="123"/>
        <v>206</v>
      </c>
    </row>
    <row r="669" spans="1:9" x14ac:dyDescent="0.35">
      <c r="A669" s="2" t="str">
        <f t="shared" si="118"/>
        <v>DANE</v>
      </c>
      <c r="B669" s="2" t="str">
        <f t="shared" si="119"/>
        <v>CITY OF MADISON  ENG DIV</v>
      </c>
      <c r="C669" s="2" t="s">
        <v>2532</v>
      </c>
      <c r="D669" s="2" t="str">
        <f>CLEAN("5992-08-60")</f>
        <v>5992-08-60</v>
      </c>
      <c r="E669" s="3" t="str">
        <f>CLEAN("PEDESTRIAN BIKE SAFETY EDUCATION")</f>
        <v>PEDESTRIAN BIKE SAFETY EDUCATION</v>
      </c>
      <c r="F669" s="3" t="str">
        <f>CLEAN("CITY OF MADISON 2026 - JUNE 2027")</f>
        <v>CITY OF MADISON 2026 - JUNE 2027</v>
      </c>
      <c r="G669" s="3" t="str">
        <f>CLEAN("FUNDING FOR CALENDAR YEAR 2026")</f>
        <v>FUNDING FOR CALENDAR YEAR 2026</v>
      </c>
      <c r="H669" s="2" t="str">
        <f t="shared" si="122"/>
        <v>NON HWY</v>
      </c>
      <c r="I669" s="2" t="str">
        <f t="shared" si="123"/>
        <v>206</v>
      </c>
    </row>
    <row r="670" spans="1:9" x14ac:dyDescent="0.35">
      <c r="A670" s="2" t="str">
        <f t="shared" si="118"/>
        <v>DANE</v>
      </c>
      <c r="B670" s="2" t="str">
        <f t="shared" si="119"/>
        <v>CITY OF MADISON  ENG DIV</v>
      </c>
      <c r="C670" s="2" t="s">
        <v>2534</v>
      </c>
      <c r="D670" s="2" t="str">
        <f>CLEAN("5992-08-61")</f>
        <v>5992-08-61</v>
      </c>
      <c r="E670" s="3" t="str">
        <f>CLEAN("PEDESTRIAN BIKE SAFETY EDUCATION")</f>
        <v>PEDESTRIAN BIKE SAFETY EDUCATION</v>
      </c>
      <c r="F670" s="3" t="str">
        <f>CLEAN("CITY OF MADISON 2027 - JUNE 2028")</f>
        <v>CITY OF MADISON 2027 - JUNE 2028</v>
      </c>
      <c r="G670" s="3" t="str">
        <f>CLEAN("FUNDING FOR CALENDAR YEAR 2027")</f>
        <v>FUNDING FOR CALENDAR YEAR 2027</v>
      </c>
      <c r="H670" s="2" t="str">
        <f t="shared" si="122"/>
        <v>NON HWY</v>
      </c>
      <c r="I670" s="2" t="str">
        <f t="shared" si="123"/>
        <v>206</v>
      </c>
    </row>
    <row r="671" spans="1:9" x14ac:dyDescent="0.35">
      <c r="A671" s="2" t="str">
        <f t="shared" si="118"/>
        <v>DANE</v>
      </c>
      <c r="B671" s="2" t="str">
        <f t="shared" si="119"/>
        <v>CITY OF MADISON  ENG DIV</v>
      </c>
      <c r="C671" s="2" t="s">
        <v>317</v>
      </c>
      <c r="D671" s="2" t="str">
        <f>CLEAN("5992-09-86")</f>
        <v>5992-09-86</v>
      </c>
      <c r="E671" s="3" t="str">
        <f>CLEAN("CITY OF MADISON  S PLEASANT VIEW RD")</f>
        <v>CITY OF MADISON  S PLEASANT VIEW RD</v>
      </c>
      <c r="F671" s="3" t="str">
        <f>CLEAN("CTH PD TO PRAIRIE HILL ROAD")</f>
        <v>CTH PD TO PRAIRIE HILL ROAD</v>
      </c>
      <c r="G671" s="3" t="str">
        <f>CLEAN("CONST OPS/UTILITIES")</f>
        <v>CONST OPS/UTILITIES</v>
      </c>
      <c r="H671" s="2" t="str">
        <f>CLEAN("CTH M")</f>
        <v>CTH M</v>
      </c>
      <c r="I671" s="2" t="str">
        <f t="shared" si="123"/>
        <v>206</v>
      </c>
    </row>
    <row r="672" spans="1:9" x14ac:dyDescent="0.35">
      <c r="A672" s="2" t="str">
        <f t="shared" si="118"/>
        <v>DANE</v>
      </c>
      <c r="B672" s="2" t="str">
        <f t="shared" si="119"/>
        <v>CITY OF MADISON  ENG DIV</v>
      </c>
      <c r="C672" s="2" t="s">
        <v>316</v>
      </c>
      <c r="D672" s="2" t="str">
        <f>CLEAN("5992-09-88")</f>
        <v>5992-09-88</v>
      </c>
      <c r="E672" s="3" t="str">
        <f>CLEAN("CITY OF MADISON  CTH M")</f>
        <v>CITY OF MADISON  CTH M</v>
      </c>
      <c r="F672" s="3" t="str">
        <f>CLEAN("CTH PD INTERSECTION")</f>
        <v>CTH PD INTERSECTION</v>
      </c>
      <c r="G672" s="3" t="str">
        <f>CLEAN("CONST OPS/UTILITIES")</f>
        <v>CONST OPS/UTILITIES</v>
      </c>
      <c r="H672" s="2" t="str">
        <f>CLEAN("CTH M")</f>
        <v>CTH M</v>
      </c>
      <c r="I672" s="2" t="str">
        <f t="shared" si="123"/>
        <v>206</v>
      </c>
    </row>
    <row r="673" spans="1:9" x14ac:dyDescent="0.35">
      <c r="A673" s="2" t="str">
        <f t="shared" si="118"/>
        <v>DANE</v>
      </c>
      <c r="B673" s="2" t="str">
        <f t="shared" si="119"/>
        <v>CITY OF MADISON  ENG DIV</v>
      </c>
      <c r="C673" s="2" t="s">
        <v>199</v>
      </c>
      <c r="D673" s="2" t="str">
        <f>CLEAN("5992-10-32")</f>
        <v>5992-10-32</v>
      </c>
      <c r="E673" s="3" t="str">
        <f>CLEAN("CITY OF MADISON  GAMMON ROAD")</f>
        <v>CITY OF MADISON  GAMMON ROAD</v>
      </c>
      <c r="F673" s="3" t="str">
        <f>CLEAN("USH 12 TO MINERAL POINT ROAD")</f>
        <v>USH 12 TO MINERAL POINT ROAD</v>
      </c>
      <c r="G673" s="3" t="str">
        <f>CLEAN("CONST OPS/PAVEMENT REPLACEMENT")</f>
        <v>CONST OPS/PAVEMENT REPLACEMENT</v>
      </c>
      <c r="H673" s="2" t="str">
        <f>CLEAN("LOC STR")</f>
        <v>LOC STR</v>
      </c>
      <c r="I673" s="2" t="str">
        <f t="shared" si="123"/>
        <v>206</v>
      </c>
    </row>
    <row r="674" spans="1:9" x14ac:dyDescent="0.35">
      <c r="A674" s="2" t="str">
        <f t="shared" si="118"/>
        <v>DANE</v>
      </c>
      <c r="B674" s="2" t="str">
        <f t="shared" si="119"/>
        <v>CITY OF MADISON  ENG DIV</v>
      </c>
      <c r="C674" s="2" t="s">
        <v>312</v>
      </c>
      <c r="D674" s="2" t="str">
        <f>CLEAN("5992-10-33")</f>
        <v>5992-10-33</v>
      </c>
      <c r="E674" s="3" t="str">
        <f>CLEAN("CITY OF MADISON  GAMMON ROAD")</f>
        <v>CITY OF MADISON  GAMMON ROAD</v>
      </c>
      <c r="F674" s="3" t="str">
        <f>CLEAN("USH 12 TO MINERAL POINT ROAD")</f>
        <v>USH 12 TO MINERAL POINT ROAD</v>
      </c>
      <c r="G674" s="3" t="str">
        <f>CLEAN("CONST OPS/SANITARY WATER UTILITIES")</f>
        <v>CONST OPS/SANITARY WATER UTILITIES</v>
      </c>
      <c r="H674" s="2" t="str">
        <f>CLEAN("LOC STR")</f>
        <v>LOC STR</v>
      </c>
      <c r="I674" s="2" t="str">
        <f t="shared" si="123"/>
        <v>206</v>
      </c>
    </row>
    <row r="675" spans="1:9" x14ac:dyDescent="0.35">
      <c r="A675" s="2" t="str">
        <f t="shared" si="118"/>
        <v>DANE</v>
      </c>
      <c r="B675" s="2" t="str">
        <f t="shared" si="119"/>
        <v>CITY OF MADISON  ENG DIV</v>
      </c>
      <c r="C675" s="2" t="s">
        <v>2932</v>
      </c>
      <c r="D675" s="2" t="str">
        <f>CLEAN("5992-10-40")</f>
        <v>5992-10-40</v>
      </c>
      <c r="E675" s="3" t="str">
        <f>CLEAN("C MADISON  GARVER PATH")</f>
        <v>C MADISON  GARVER PATH</v>
      </c>
      <c r="F675" s="3" t="str">
        <f>CLEAN("SUGAR AVENUE TO MILWAUKEE STREET")</f>
        <v>SUGAR AVENUE TO MILWAUKEE STREET</v>
      </c>
      <c r="G675" s="3" t="str">
        <f>CLEAN("PE/PLAN CHECKING BIKE/PED PATH")</f>
        <v>PE/PLAN CHECKING BIKE/PED PATH</v>
      </c>
      <c r="H675" s="2" t="str">
        <f>CLEAN("NON HWY")</f>
        <v>NON HWY</v>
      </c>
      <c r="I675" s="2" t="str">
        <f>CLEAN("290")</f>
        <v>290</v>
      </c>
    </row>
    <row r="676" spans="1:9" x14ac:dyDescent="0.35">
      <c r="A676" s="2" t="str">
        <f t="shared" si="118"/>
        <v>DANE</v>
      </c>
      <c r="B676" s="2" t="str">
        <f t="shared" si="119"/>
        <v>CITY OF MADISON  ENG DIV</v>
      </c>
      <c r="C676" s="2" t="s">
        <v>48</v>
      </c>
      <c r="D676" s="2" t="str">
        <f>CLEAN("5992-10-41")</f>
        <v>5992-10-41</v>
      </c>
      <c r="E676" s="3" t="str">
        <f>CLEAN("C MADISON  GARVER PATH")</f>
        <v>C MADISON  GARVER PATH</v>
      </c>
      <c r="F676" s="3" t="str">
        <f>CLEAN("SUGAR AVENUE TO MILWAUKEE STREET")</f>
        <v>SUGAR AVENUE TO MILWAUKEE STREET</v>
      </c>
      <c r="G676" s="3" t="str">
        <f>CLEAN("CONST OPS - BIKE/PED PATH")</f>
        <v>CONST OPS - BIKE/PED PATH</v>
      </c>
      <c r="H676" s="2" t="str">
        <f>CLEAN("NON HWY")</f>
        <v>NON HWY</v>
      </c>
      <c r="I676" s="2" t="str">
        <f>CLEAN("290")</f>
        <v>290</v>
      </c>
    </row>
    <row r="677" spans="1:9" x14ac:dyDescent="0.35">
      <c r="A677" s="2" t="str">
        <f t="shared" si="118"/>
        <v>DANE</v>
      </c>
      <c r="B677" s="2" t="str">
        <f t="shared" si="119"/>
        <v>CITY OF MADISON  ENG DIV</v>
      </c>
      <c r="C677" s="2" t="s">
        <v>1503</v>
      </c>
      <c r="D677" s="2" t="str">
        <f>CLEAN("5992-10-42")</f>
        <v>5992-10-42</v>
      </c>
      <c r="E677" s="3" t="str">
        <f>CLEAN("C MADISON. CAPITAL CITY PATH EXT")</f>
        <v>C MADISON. CAPITAL CITY PATH EXT</v>
      </c>
      <c r="F677" s="3" t="str">
        <f>CLEAN("WAGON TRAIL TO IH39/90")</f>
        <v>WAGON TRAIL TO IH39/90</v>
      </c>
      <c r="G677" s="3" t="str">
        <f>CLEAN("DESIGN - FULL PS&amp;E PEDESTRIAN PATH")</f>
        <v>DESIGN - FULL PS&amp;E PEDESTRIAN PATH</v>
      </c>
      <c r="H677" s="2" t="str">
        <f>CLEAN("NON HWY")</f>
        <v>NON HWY</v>
      </c>
      <c r="I677" s="2" t="str">
        <f>CLEAN("290")</f>
        <v>290</v>
      </c>
    </row>
    <row r="678" spans="1:9" x14ac:dyDescent="0.35">
      <c r="A678" s="2" t="str">
        <f t="shared" si="118"/>
        <v>DANE</v>
      </c>
      <c r="B678" s="2" t="str">
        <f t="shared" si="119"/>
        <v>CITY OF MADISON  ENG DIV</v>
      </c>
      <c r="C678" s="2" t="s">
        <v>1496</v>
      </c>
      <c r="D678" s="2" t="str">
        <f>CLEAN("5992-10-44")</f>
        <v>5992-10-44</v>
      </c>
      <c r="E678" s="3" t="str">
        <f>CLEAN("C MADISON  WEST TOWNE PATH EXT")</f>
        <v>C MADISON  WEST TOWNE PATH EXT</v>
      </c>
      <c r="F678" s="3" t="str">
        <f>CLEAN("S HIGH POINT TO ZOR SHRINE PLACE")</f>
        <v>S HIGH POINT TO ZOR SHRINE PLACE</v>
      </c>
      <c r="G678" s="3" t="str">
        <f>CLEAN("DESIGN - FULL PS&amp;E MULTI USE PATH")</f>
        <v>DESIGN - FULL PS&amp;E MULTI USE PATH</v>
      </c>
      <c r="H678" s="2" t="str">
        <f>CLEAN("NON HWY")</f>
        <v>NON HWY</v>
      </c>
      <c r="I678" s="2" t="str">
        <f>CLEAN("290")</f>
        <v>290</v>
      </c>
    </row>
    <row r="679" spans="1:9" x14ac:dyDescent="0.35">
      <c r="A679" s="2" t="str">
        <f t="shared" si="118"/>
        <v>DANE</v>
      </c>
      <c r="B679" s="2" t="str">
        <f t="shared" si="119"/>
        <v>CITY OF MADISON  ENG DIV</v>
      </c>
      <c r="C679" s="2" t="s">
        <v>3036</v>
      </c>
      <c r="D679" s="2" t="str">
        <f>CLEAN("5992-10-45")</f>
        <v>5992-10-45</v>
      </c>
      <c r="E679" s="3" t="str">
        <f>CLEAN("C MADISON  WEST TOWNE PATH EXT")</f>
        <v>C MADISON  WEST TOWNE PATH EXT</v>
      </c>
      <c r="F679" s="3" t="str">
        <f>CLEAN("S HIGH POINT TO ZOR SHRINE PLACE")</f>
        <v>S HIGH POINT TO ZOR SHRINE PLACE</v>
      </c>
      <c r="G679" s="3" t="str">
        <f>CLEAN("PEDESTRIAN / BICYCLE MULTI-USE PATH")</f>
        <v>PEDESTRIAN / BICYCLE MULTI-USE PATH</v>
      </c>
      <c r="H679" s="2" t="str">
        <f>CLEAN("NON HWY")</f>
        <v>NON HWY</v>
      </c>
      <c r="I679" s="2" t="str">
        <f>CLEAN("290")</f>
        <v>290</v>
      </c>
    </row>
    <row r="680" spans="1:9" x14ac:dyDescent="0.35">
      <c r="A680" s="2" t="str">
        <f t="shared" si="118"/>
        <v>DANE</v>
      </c>
      <c r="B680" s="2" t="str">
        <f t="shared" si="119"/>
        <v>CITY OF MADISON  ENG DIV</v>
      </c>
      <c r="C680" s="2" t="s">
        <v>2225</v>
      </c>
      <c r="D680" s="2" t="str">
        <f>CLEAN("5992-10-46")</f>
        <v>5992-10-46</v>
      </c>
      <c r="E680" s="3" t="str">
        <f>CLEAN("C MADISON  WEST TOWNE PATH")</f>
        <v>C MADISON  WEST TOWNE PATH</v>
      </c>
      <c r="F680" s="3" t="str">
        <f>CLEAN("ZOR SHRINE PLACE TO S. GAMMON ROAD")</f>
        <v>ZOR SHRINE PLACE TO S. GAMMON ROAD</v>
      </c>
      <c r="G680" s="3" t="str">
        <f>CLEAN("DESIGN/PLAN CHECK REVIEW/RECST")</f>
        <v>DESIGN/PLAN CHECK REVIEW/RECST</v>
      </c>
      <c r="H680" s="2" t="str">
        <f>CLEAN("OFF SYS")</f>
        <v>OFF SYS</v>
      </c>
      <c r="I680" s="2" t="str">
        <f t="shared" ref="I680:I691" si="124">CLEAN("206")</f>
        <v>206</v>
      </c>
    </row>
    <row r="681" spans="1:9" x14ac:dyDescent="0.35">
      <c r="A681" s="2" t="str">
        <f t="shared" si="118"/>
        <v>DANE</v>
      </c>
      <c r="B681" s="2" t="str">
        <f t="shared" si="119"/>
        <v>CITY OF MADISON  ENG DIV</v>
      </c>
      <c r="C681" s="2" t="s">
        <v>2211</v>
      </c>
      <c r="D681" s="2" t="str">
        <f>CLEAN("5992-10-73")</f>
        <v>5992-10-73</v>
      </c>
      <c r="E681" s="3" t="str">
        <f>CLEAN("C MADISON  S. HIGH POINT RD EXT")</f>
        <v>C MADISON  S. HIGH POINT RD EXT</v>
      </c>
      <c r="F681" s="3" t="str">
        <f>CLEAN("RAYMOND RD TO MIDTOWN PLAT LIMIT")</f>
        <v>RAYMOND RD TO MIDTOWN PLAT LIMIT</v>
      </c>
      <c r="G681" s="3" t="str">
        <f>CLEAN("DESIGN/PLAN CHECK REVIEW/RECST")</f>
        <v>DESIGN/PLAN CHECK REVIEW/RECST</v>
      </c>
      <c r="H681" s="2" t="str">
        <f t="shared" ref="H681:H687" si="125">CLEAN("LOC STR")</f>
        <v>LOC STR</v>
      </c>
      <c r="I681" s="2" t="str">
        <f t="shared" si="124"/>
        <v>206</v>
      </c>
    </row>
    <row r="682" spans="1:9" x14ac:dyDescent="0.35">
      <c r="A682" s="2" t="str">
        <f t="shared" si="118"/>
        <v>DANE</v>
      </c>
      <c r="B682" s="2" t="str">
        <f t="shared" si="119"/>
        <v>CITY OF MADISON  ENG DIV</v>
      </c>
      <c r="C682" s="2" t="s">
        <v>259</v>
      </c>
      <c r="D682" s="2" t="str">
        <f>CLEAN("5992-10-74")</f>
        <v>5992-10-74</v>
      </c>
      <c r="E682" s="3" t="str">
        <f>CLEAN("C MADISON  S. HIGH POINT RD EXT")</f>
        <v>C MADISON  S. HIGH POINT RD EXT</v>
      </c>
      <c r="F682" s="3" t="str">
        <f>CLEAN("RAYMOND RD TO MIDTOWN PLAT LIMIT")</f>
        <v>RAYMOND RD TO MIDTOWN PLAT LIMIT</v>
      </c>
      <c r="G682" s="3" t="str">
        <f>CLEAN("CONST OPS/RECONSTRUCTION")</f>
        <v>CONST OPS/RECONSTRUCTION</v>
      </c>
      <c r="H682" s="2" t="str">
        <f t="shared" si="125"/>
        <v>LOC STR</v>
      </c>
      <c r="I682" s="2" t="str">
        <f t="shared" si="124"/>
        <v>206</v>
      </c>
    </row>
    <row r="683" spans="1:9" x14ac:dyDescent="0.35">
      <c r="A683" s="2" t="str">
        <f t="shared" ref="A683:A701" si="126">CLEAN("DANE")</f>
        <v>DANE</v>
      </c>
      <c r="B683" s="2" t="str">
        <f t="shared" ref="B683:B701" si="127">CLEAN("CITY OF MADISON  ENG DIV")</f>
        <v>CITY OF MADISON  ENG DIV</v>
      </c>
      <c r="C683" s="2" t="s">
        <v>320</v>
      </c>
      <c r="D683" s="2" t="str">
        <f>CLEAN("5992-10-75")</f>
        <v>5992-10-75</v>
      </c>
      <c r="E683" s="3" t="str">
        <f>CLEAN("C MADISON  S. HIGH POINT RD EXT")</f>
        <v>C MADISON  S. HIGH POINT RD EXT</v>
      </c>
      <c r="F683" s="3" t="str">
        <f>CLEAN("RAYMOND RD TO MIDTOWN PLAT LIMIT")</f>
        <v>RAYMOND RD TO MIDTOWN PLAT LIMIT</v>
      </c>
      <c r="G683" s="3" t="str">
        <f>CLEAN("CONST OPS/WATER AND SANITARY SEWER")</f>
        <v>CONST OPS/WATER AND SANITARY SEWER</v>
      </c>
      <c r="H683" s="2" t="str">
        <f t="shared" si="125"/>
        <v>LOC STR</v>
      </c>
      <c r="I683" s="2" t="str">
        <f t="shared" si="124"/>
        <v>206</v>
      </c>
    </row>
    <row r="684" spans="1:9" x14ac:dyDescent="0.35">
      <c r="A684" s="2" t="str">
        <f t="shared" si="126"/>
        <v>DANE</v>
      </c>
      <c r="B684" s="2" t="str">
        <f t="shared" si="127"/>
        <v>CITY OF MADISON  ENG DIV</v>
      </c>
      <c r="C684" s="2" t="s">
        <v>1692</v>
      </c>
      <c r="D684" s="2" t="str">
        <f>CLEAN("5992-11-00")</f>
        <v>5992-11-00</v>
      </c>
      <c r="E684" s="3" t="str">
        <f>CLEAN("CITY OF MADISON  PLEASANT VIEW ROAD")</f>
        <v>CITY OF MADISON  PLEASANT VIEW ROAD</v>
      </c>
      <c r="F684" s="3" t="str">
        <f>CLEAN("MINERAL POINT ROAD TO USH 14")</f>
        <v>MINERAL POINT ROAD TO USH 14</v>
      </c>
      <c r="G684" s="3" t="str">
        <f>CLEAN("DESIGN OVERSIGHT/RECONSTRUCTION")</f>
        <v>DESIGN OVERSIGHT/RECONSTRUCTION</v>
      </c>
      <c r="H684" s="2" t="str">
        <f t="shared" si="125"/>
        <v>LOC STR</v>
      </c>
      <c r="I684" s="2" t="str">
        <f t="shared" si="124"/>
        <v>206</v>
      </c>
    </row>
    <row r="685" spans="1:9" x14ac:dyDescent="0.35">
      <c r="A685" s="2" t="str">
        <f t="shared" si="126"/>
        <v>DANE</v>
      </c>
      <c r="B685" s="2" t="str">
        <f t="shared" si="127"/>
        <v>CITY OF MADISON  ENG DIV</v>
      </c>
      <c r="C685" s="2" t="s">
        <v>261</v>
      </c>
      <c r="D685" s="2" t="str">
        <f>CLEAN("5992-11-31")</f>
        <v>5992-11-31</v>
      </c>
      <c r="E685" s="3" t="str">
        <f>CLEAN("CITY OF MADISON  UNIVERSITY AVENUE")</f>
        <v>CITY OF MADISON  UNIVERSITY AVENUE</v>
      </c>
      <c r="F685" s="3" t="str">
        <f>CLEAN("SHOREWOOD BLVD TO UNIVERSITY BAY DR")</f>
        <v>SHOREWOOD BLVD TO UNIVERSITY BAY DR</v>
      </c>
      <c r="G685" s="3" t="str">
        <f>CLEAN("CONST OPS/RECONSTRUCTION")</f>
        <v>CONST OPS/RECONSTRUCTION</v>
      </c>
      <c r="H685" s="2" t="str">
        <f t="shared" si="125"/>
        <v>LOC STR</v>
      </c>
      <c r="I685" s="2" t="str">
        <f t="shared" si="124"/>
        <v>206</v>
      </c>
    </row>
    <row r="686" spans="1:9" x14ac:dyDescent="0.35">
      <c r="A686" s="2" t="str">
        <f t="shared" si="126"/>
        <v>DANE</v>
      </c>
      <c r="B686" s="2" t="str">
        <f t="shared" si="127"/>
        <v>CITY OF MADISON  ENG DIV</v>
      </c>
      <c r="C686" s="2" t="s">
        <v>321</v>
      </c>
      <c r="D686" s="2" t="str">
        <f>CLEAN("5992-11-32")</f>
        <v>5992-11-32</v>
      </c>
      <c r="E686" s="3" t="str">
        <f>CLEAN("CITY OF MADISON  UNIVERSITY AVENUE")</f>
        <v>CITY OF MADISON  UNIVERSITY AVENUE</v>
      </c>
      <c r="F686" s="3" t="str">
        <f>CLEAN("SHOREWOOD BLVD TO UNIVERSITY BAY DR")</f>
        <v>SHOREWOOD BLVD TO UNIVERSITY BAY DR</v>
      </c>
      <c r="G686" s="3" t="str">
        <f>CLEAN("CONST OPS/WATER AND SANITARY SEWER")</f>
        <v>CONST OPS/WATER AND SANITARY SEWER</v>
      </c>
      <c r="H686" s="2" t="str">
        <f t="shared" si="125"/>
        <v>LOC STR</v>
      </c>
      <c r="I686" s="2" t="str">
        <f t="shared" si="124"/>
        <v>206</v>
      </c>
    </row>
    <row r="687" spans="1:9" x14ac:dyDescent="0.35">
      <c r="A687" s="2" t="str">
        <f t="shared" si="126"/>
        <v>DANE</v>
      </c>
      <c r="B687" s="2" t="str">
        <f t="shared" si="127"/>
        <v>CITY OF MADISON  ENG DIV</v>
      </c>
      <c r="C687" s="2" t="s">
        <v>311</v>
      </c>
      <c r="D687" s="2" t="str">
        <f>CLEAN("5992-11-33")</f>
        <v>5992-11-33</v>
      </c>
      <c r="E687" s="3" t="str">
        <f>CLEAN("CITY OF MADISON  UNIVERSITY AVENUE")</f>
        <v>CITY OF MADISON  UNIVERSITY AVENUE</v>
      </c>
      <c r="F687" s="3" t="str">
        <f>CLEAN("SHOREWOOD BLVD TO UNIVERSITY BAY DR")</f>
        <v>SHOREWOOD BLVD TO UNIVERSITY BAY DR</v>
      </c>
      <c r="G687" s="3" t="str">
        <f>CLEAN("CONST OPS/SANITARY SEWER")</f>
        <v>CONST OPS/SANITARY SEWER</v>
      </c>
      <c r="H687" s="2" t="str">
        <f t="shared" si="125"/>
        <v>LOC STR</v>
      </c>
      <c r="I687" s="2" t="str">
        <f t="shared" si="124"/>
        <v>206</v>
      </c>
    </row>
    <row r="688" spans="1:9" x14ac:dyDescent="0.35">
      <c r="A688" s="2" t="str">
        <f t="shared" si="126"/>
        <v>DANE</v>
      </c>
      <c r="B688" s="2" t="str">
        <f t="shared" si="127"/>
        <v>CITY OF MADISON  ENG DIV</v>
      </c>
      <c r="C688" s="2" t="s">
        <v>1857</v>
      </c>
      <c r="D688" s="2" t="str">
        <f>CLEAN("5992-11-34")</f>
        <v>5992-11-34</v>
      </c>
      <c r="E688" s="3" t="str">
        <f>CLEAN("C MADISON  LED STREET LIGHTS")</f>
        <v>C MADISON  LED STREET LIGHTS</v>
      </c>
      <c r="F688" s="3" t="str">
        <f>CLEAN("VARIOUS LOCATIONS - C MADISON")</f>
        <v>VARIOUS LOCATIONS - C MADISON</v>
      </c>
      <c r="G688" s="3" t="str">
        <f>CLEAN("DESIGN/CARBON RED-LED LIGHTING")</f>
        <v>DESIGN/CARBON RED-LED LIGHTING</v>
      </c>
      <c r="H688" s="2" t="str">
        <f>CLEAN("VAR HWY")</f>
        <v>VAR HWY</v>
      </c>
      <c r="I688" s="2" t="str">
        <f t="shared" si="124"/>
        <v>206</v>
      </c>
    </row>
    <row r="689" spans="1:9" x14ac:dyDescent="0.35">
      <c r="A689" s="2" t="str">
        <f t="shared" si="126"/>
        <v>DANE</v>
      </c>
      <c r="B689" s="2" t="str">
        <f t="shared" si="127"/>
        <v>CITY OF MADISON  ENG DIV</v>
      </c>
      <c r="C689" s="2" t="s">
        <v>526</v>
      </c>
      <c r="D689" s="2" t="str">
        <f>CLEAN("5992-11-35")</f>
        <v>5992-11-35</v>
      </c>
      <c r="E689" s="3" t="str">
        <f>CLEAN("C MADISON  LED STREET LIGHTS")</f>
        <v>C MADISON  LED STREET LIGHTS</v>
      </c>
      <c r="F689" s="3" t="str">
        <f>CLEAN("VARIOUS LOCATIONS - C MADISON")</f>
        <v>VARIOUS LOCATIONS - C MADISON</v>
      </c>
      <c r="G689" s="3" t="str">
        <f>CLEAN("CONST/CARBON RED-LED LIGHTING")</f>
        <v>CONST/CARBON RED-LED LIGHTING</v>
      </c>
      <c r="H689" s="2" t="str">
        <f>CLEAN("VAR HWY")</f>
        <v>VAR HWY</v>
      </c>
      <c r="I689" s="2" t="str">
        <f t="shared" si="124"/>
        <v>206</v>
      </c>
    </row>
    <row r="690" spans="1:9" x14ac:dyDescent="0.35">
      <c r="A690" s="2" t="str">
        <f t="shared" si="126"/>
        <v>DANE</v>
      </c>
      <c r="B690" s="2" t="str">
        <f t="shared" si="127"/>
        <v>CITY OF MADISON  ENG DIV</v>
      </c>
      <c r="C690" s="2" t="s">
        <v>519</v>
      </c>
      <c r="D690" s="2" t="str">
        <f>CLEAN("5992-11-38")</f>
        <v>5992-11-38</v>
      </c>
      <c r="E690" s="3" t="str">
        <f>CLEAN("C MADISON TRAFFIC SIGNAL CONTROLLER")</f>
        <v>C MADISON TRAFFIC SIGNAL CONTROLLER</v>
      </c>
      <c r="F690" s="3" t="str">
        <f>CLEAN("VARIOUS LOCATIONS - C MADISON")</f>
        <v>VARIOUS LOCATIONS - C MADISON</v>
      </c>
      <c r="G690" s="3" t="str">
        <f>CLEAN("CONST/CARBON RED")</f>
        <v>CONST/CARBON RED</v>
      </c>
      <c r="H690" s="2" t="str">
        <f>CLEAN("VAR HWY")</f>
        <v>VAR HWY</v>
      </c>
      <c r="I690" s="2" t="str">
        <f t="shared" si="124"/>
        <v>206</v>
      </c>
    </row>
    <row r="691" spans="1:9" x14ac:dyDescent="0.35">
      <c r="A691" s="2" t="str">
        <f t="shared" si="126"/>
        <v>DANE</v>
      </c>
      <c r="B691" s="2" t="str">
        <f t="shared" si="127"/>
        <v>CITY OF MADISON  ENG DIV</v>
      </c>
      <c r="C691" s="2" t="s">
        <v>530</v>
      </c>
      <c r="D691" s="2" t="str">
        <f>CLEAN("5992-11-39")</f>
        <v>5992-11-39</v>
      </c>
      <c r="E691" s="3" t="str">
        <f>CLEAN("C MADISON  LED TRAFFIC SIGNAL")</f>
        <v>C MADISON  LED TRAFFIC SIGNAL</v>
      </c>
      <c r="F691" s="3" t="str">
        <f>CLEAN("VARIOUS LOCATIONS - C MADISON")</f>
        <v>VARIOUS LOCATIONS - C MADISON</v>
      </c>
      <c r="G691" s="3" t="str">
        <f>CLEAN("CONST/CARBON RED-LED SIGNAL")</f>
        <v>CONST/CARBON RED-LED SIGNAL</v>
      </c>
      <c r="H691" s="2" t="str">
        <f>CLEAN("VAR HWY")</f>
        <v>VAR HWY</v>
      </c>
      <c r="I691" s="2" t="str">
        <f t="shared" si="124"/>
        <v>206</v>
      </c>
    </row>
    <row r="692" spans="1:9" x14ac:dyDescent="0.35">
      <c r="A692" s="2" t="str">
        <f t="shared" si="126"/>
        <v>DANE</v>
      </c>
      <c r="B692" s="2" t="str">
        <f t="shared" si="127"/>
        <v>CITY OF MADISON  ENG DIV</v>
      </c>
      <c r="C692" s="2" t="s">
        <v>3351</v>
      </c>
      <c r="D692" s="2" t="str">
        <f>CLEAN("5992-11-40")</f>
        <v>5992-11-40</v>
      </c>
      <c r="E692" s="3" t="str">
        <f>CLEAN("C MADISON  STOP SIGN PADDLES")</f>
        <v>C MADISON  STOP SIGN PADDLES</v>
      </c>
      <c r="F692" s="3" t="str">
        <f>CLEAN("VARIOUS LOCATIONS  C MADISON")</f>
        <v>VARIOUS LOCATIONS  C MADISON</v>
      </c>
      <c r="G692" s="3" t="str">
        <f>CLEAN("STOP SIGN PADDLE PURCHASES")</f>
        <v>STOP SIGN PADDLE PURCHASES</v>
      </c>
      <c r="H692" s="2" t="str">
        <f>CLEAN("NON HWY")</f>
        <v>NON HWY</v>
      </c>
      <c r="I692" s="2" t="str">
        <f>CLEAN("290")</f>
        <v>290</v>
      </c>
    </row>
    <row r="693" spans="1:9" x14ac:dyDescent="0.35">
      <c r="A693" s="2" t="str">
        <f t="shared" si="126"/>
        <v>DANE</v>
      </c>
      <c r="B693" s="2" t="str">
        <f t="shared" si="127"/>
        <v>CITY OF MADISON  ENG DIV</v>
      </c>
      <c r="C693" s="2" t="s">
        <v>3092</v>
      </c>
      <c r="D693" s="2" t="str">
        <f>CLEAN("5992-11-41")</f>
        <v>5992-11-41</v>
      </c>
      <c r="E693" s="3" t="str">
        <f>CLEAN("C MADISON  BIKE TRAFFIC COUNTERS")</f>
        <v>C MADISON  BIKE TRAFFIC COUNTERS</v>
      </c>
      <c r="F693" s="3" t="str">
        <f>CLEAN("VARIOUS LOCATIONS  C MADISON")</f>
        <v>VARIOUS LOCATIONS  C MADISON</v>
      </c>
      <c r="G693" s="3" t="str">
        <f>CLEAN("PURCHASE BIKE TRAFFIC COUNTERS")</f>
        <v>PURCHASE BIKE TRAFFIC COUNTERS</v>
      </c>
      <c r="H693" s="2" t="str">
        <f>CLEAN("NON HWY")</f>
        <v>NON HWY</v>
      </c>
      <c r="I693" s="2" t="str">
        <f>CLEAN("290")</f>
        <v>290</v>
      </c>
    </row>
    <row r="694" spans="1:9" x14ac:dyDescent="0.35">
      <c r="A694" s="2" t="str">
        <f t="shared" si="126"/>
        <v>DANE</v>
      </c>
      <c r="B694" s="2" t="str">
        <f t="shared" si="127"/>
        <v>CITY OF MADISON  ENG DIV</v>
      </c>
      <c r="C694" s="2" t="s">
        <v>3228</v>
      </c>
      <c r="D694" s="2" t="str">
        <f>CLEAN("5992-11-53")</f>
        <v>5992-11-53</v>
      </c>
      <c r="E694" s="3" t="str">
        <f>CLEAN("CITY OF MADISON JOHN NOLEN DRIVE")</f>
        <v>CITY OF MADISON JOHN NOLEN DRIVE</v>
      </c>
      <c r="F694" s="3" t="str">
        <f>CLEAN("WSOR RR XING 177817F")</f>
        <v>WSOR RR XING 177817F</v>
      </c>
      <c r="G694" s="3" t="str">
        <f>CLEAN("RR OPS/CROSSING SURFACE")</f>
        <v>RR OPS/CROSSING SURFACE</v>
      </c>
      <c r="H694" s="2" t="str">
        <f t="shared" ref="H694:H701" si="128">CLEAN("LOC STR")</f>
        <v>LOC STR</v>
      </c>
      <c r="I694" s="2" t="str">
        <f t="shared" ref="I694:I701" si="129">CLEAN("206")</f>
        <v>206</v>
      </c>
    </row>
    <row r="695" spans="1:9" x14ac:dyDescent="0.35">
      <c r="A695" s="2" t="str">
        <f t="shared" si="126"/>
        <v>DANE</v>
      </c>
      <c r="B695" s="2" t="str">
        <f t="shared" si="127"/>
        <v>CITY OF MADISON  ENG DIV</v>
      </c>
      <c r="C695" s="2" t="s">
        <v>3220</v>
      </c>
      <c r="D695" s="2" t="str">
        <f>CLEAN("5992-11-54")</f>
        <v>5992-11-54</v>
      </c>
      <c r="E695" s="3" t="str">
        <f>CLEAN("CITY OF MADISON JOHN NOLEN DRIVE")</f>
        <v>CITY OF MADISON JOHN NOLEN DRIVE</v>
      </c>
      <c r="F695" s="3" t="str">
        <f>CLEAN("WSOR RR XING 177817F")</f>
        <v>WSOR RR XING 177817F</v>
      </c>
      <c r="G695" s="3" t="str">
        <f>CLEAN("RR OPS/CROSSING SIGNALS")</f>
        <v>RR OPS/CROSSING SIGNALS</v>
      </c>
      <c r="H695" s="2" t="str">
        <f t="shared" si="128"/>
        <v>LOC STR</v>
      </c>
      <c r="I695" s="2" t="str">
        <f t="shared" si="129"/>
        <v>206</v>
      </c>
    </row>
    <row r="696" spans="1:9" x14ac:dyDescent="0.35">
      <c r="A696" s="2" t="str">
        <f t="shared" si="126"/>
        <v>DANE</v>
      </c>
      <c r="B696" s="2" t="str">
        <f t="shared" si="127"/>
        <v>CITY OF MADISON  ENG DIV</v>
      </c>
      <c r="C696" s="2" t="s">
        <v>3101</v>
      </c>
      <c r="D696" s="2" t="str">
        <f>CLEAN("5992-11-55")</f>
        <v>5992-11-55</v>
      </c>
      <c r="E696" s="3" t="str">
        <f>CLEAN("CITY OF MADISON  UNIVERSITY AVENUE")</f>
        <v>CITY OF MADISON  UNIVERSITY AVENUE</v>
      </c>
      <c r="F696" s="3" t="str">
        <f>CLEAN("SHOREWOOD BLVD TO UNIVERSITY BAY DR")</f>
        <v>SHOREWOOD BLVD TO UNIVERSITY BAY DR</v>
      </c>
      <c r="G696" s="3" t="str">
        <f>CLEAN("R/R OPS/ CROSSING SIGNALS")</f>
        <v>R/R OPS/ CROSSING SIGNALS</v>
      </c>
      <c r="H696" s="2" t="str">
        <f t="shared" si="128"/>
        <v>LOC STR</v>
      </c>
      <c r="I696" s="2" t="str">
        <f t="shared" si="129"/>
        <v>206</v>
      </c>
    </row>
    <row r="697" spans="1:9" x14ac:dyDescent="0.35">
      <c r="A697" s="2" t="str">
        <f t="shared" si="126"/>
        <v>DANE</v>
      </c>
      <c r="B697" s="2" t="str">
        <f t="shared" si="127"/>
        <v>CITY OF MADISON  ENG DIV</v>
      </c>
      <c r="C697" s="2" t="s">
        <v>3105</v>
      </c>
      <c r="D697" s="2" t="str">
        <f>CLEAN("5992-11-56")</f>
        <v>5992-11-56</v>
      </c>
      <c r="E697" s="3" t="str">
        <f>CLEAN("CITY OF MADISON  UNIVERSITY AVENUE")</f>
        <v>CITY OF MADISON  UNIVERSITY AVENUE</v>
      </c>
      <c r="F697" s="3" t="str">
        <f>CLEAN("SHOREWOOD BLVD TO UNIVERSITY BAY DR")</f>
        <v>SHOREWOOD BLVD TO UNIVERSITY BAY DR</v>
      </c>
      <c r="G697" s="3" t="str">
        <f>CLEAN("R/R OPS/ CROSSING SURFACE")</f>
        <v>R/R OPS/ CROSSING SURFACE</v>
      </c>
      <c r="H697" s="2" t="str">
        <f t="shared" si="128"/>
        <v>LOC STR</v>
      </c>
      <c r="I697" s="2" t="str">
        <f t="shared" si="129"/>
        <v>206</v>
      </c>
    </row>
    <row r="698" spans="1:9" x14ac:dyDescent="0.35">
      <c r="A698" s="2" t="str">
        <f t="shared" si="126"/>
        <v>DANE</v>
      </c>
      <c r="B698" s="2" t="str">
        <f t="shared" si="127"/>
        <v>CITY OF MADISON  ENG DIV</v>
      </c>
      <c r="C698" s="2" t="s">
        <v>3102</v>
      </c>
      <c r="D698" s="2" t="str">
        <f>CLEAN("5992-11-57")</f>
        <v>5992-11-57</v>
      </c>
      <c r="E698" s="3" t="str">
        <f>CLEAN("CITY OF MADISON  UNIVERSITY AVENUE")</f>
        <v>CITY OF MADISON  UNIVERSITY AVENUE</v>
      </c>
      <c r="F698" s="3" t="str">
        <f>CLEAN("SHOREWOOD BLVD TO UNIVERSITY BAY DR")</f>
        <v>SHOREWOOD BLVD TO UNIVERSITY BAY DR</v>
      </c>
      <c r="G698" s="3" t="str">
        <f>CLEAN("R/R OPS/ CROSSING SIGNALS")</f>
        <v>R/R OPS/ CROSSING SIGNALS</v>
      </c>
      <c r="H698" s="2" t="str">
        <f t="shared" si="128"/>
        <v>LOC STR</v>
      </c>
      <c r="I698" s="2" t="str">
        <f t="shared" si="129"/>
        <v>206</v>
      </c>
    </row>
    <row r="699" spans="1:9" x14ac:dyDescent="0.35">
      <c r="A699" s="2" t="str">
        <f t="shared" si="126"/>
        <v>DANE</v>
      </c>
      <c r="B699" s="2" t="str">
        <f t="shared" si="127"/>
        <v>CITY OF MADISON  ENG DIV</v>
      </c>
      <c r="C699" s="2" t="s">
        <v>3106</v>
      </c>
      <c r="D699" s="2" t="str">
        <f>CLEAN("5992-11-58")</f>
        <v>5992-11-58</v>
      </c>
      <c r="E699" s="3" t="str">
        <f>CLEAN("CITY OF MADISON  UNIVERSITY AVENUE")</f>
        <v>CITY OF MADISON  UNIVERSITY AVENUE</v>
      </c>
      <c r="F699" s="3" t="str">
        <f>CLEAN("SHOREWOOD BLVD TO UNIVERSITY BAY DR")</f>
        <v>SHOREWOOD BLVD TO UNIVERSITY BAY DR</v>
      </c>
      <c r="G699" s="3" t="str">
        <f>CLEAN("R/R OPS/ CROSSING SURFACE")</f>
        <v>R/R OPS/ CROSSING SURFACE</v>
      </c>
      <c r="H699" s="2" t="str">
        <f t="shared" si="128"/>
        <v>LOC STR</v>
      </c>
      <c r="I699" s="2" t="str">
        <f t="shared" si="129"/>
        <v>206</v>
      </c>
    </row>
    <row r="700" spans="1:9" x14ac:dyDescent="0.35">
      <c r="A700" s="2" t="str">
        <f t="shared" si="126"/>
        <v>DANE</v>
      </c>
      <c r="B700" s="2" t="str">
        <f t="shared" si="127"/>
        <v>CITY OF MADISON  ENG DIV</v>
      </c>
      <c r="C700" s="2" t="s">
        <v>3229</v>
      </c>
      <c r="D700" s="2" t="str">
        <f>CLEAN("5992-11-59")</f>
        <v>5992-11-59</v>
      </c>
      <c r="E700" s="3" t="str">
        <f>CLEAN("CITY OF MADISON JOHN NOLEN DRIVE")</f>
        <v>CITY OF MADISON JOHN NOLEN DRIVE</v>
      </c>
      <c r="F700" s="3" t="str">
        <f>CLEAN("WSOR RR XING 177818M")</f>
        <v>WSOR RR XING 177818M</v>
      </c>
      <c r="G700" s="3" t="str">
        <f>CLEAN("RR OPS/CROSSING SURFACE")</f>
        <v>RR OPS/CROSSING SURFACE</v>
      </c>
      <c r="H700" s="2" t="str">
        <f t="shared" si="128"/>
        <v>LOC STR</v>
      </c>
      <c r="I700" s="2" t="str">
        <f t="shared" si="129"/>
        <v>206</v>
      </c>
    </row>
    <row r="701" spans="1:9" x14ac:dyDescent="0.35">
      <c r="A701" s="2" t="str">
        <f t="shared" si="126"/>
        <v>DANE</v>
      </c>
      <c r="B701" s="2" t="str">
        <f t="shared" si="127"/>
        <v>CITY OF MADISON  ENG DIV</v>
      </c>
      <c r="C701" s="2" t="s">
        <v>3221</v>
      </c>
      <c r="D701" s="2" t="str">
        <f>CLEAN("5992-11-60")</f>
        <v>5992-11-60</v>
      </c>
      <c r="E701" s="3" t="str">
        <f>CLEAN("CITY OF MADISON JOHN NOLEN DRIVE")</f>
        <v>CITY OF MADISON JOHN NOLEN DRIVE</v>
      </c>
      <c r="F701" s="3" t="str">
        <f>CLEAN("WSOR RR XING 177818M")</f>
        <v>WSOR RR XING 177818M</v>
      </c>
      <c r="G701" s="3" t="str">
        <f>CLEAN("RR OPS/CROSSING SIGNALS")</f>
        <v>RR OPS/CROSSING SIGNALS</v>
      </c>
      <c r="H701" s="2" t="str">
        <f t="shared" si="128"/>
        <v>LOC STR</v>
      </c>
      <c r="I701" s="2" t="str">
        <f t="shared" si="129"/>
        <v>206</v>
      </c>
    </row>
    <row r="702" spans="1:9" x14ac:dyDescent="0.35">
      <c r="A702" s="2" t="str">
        <f t="shared" ref="A702:A708" si="130">CLEAN("MANITOWOC")</f>
        <v>MANITOWOC</v>
      </c>
      <c r="B702" s="2" t="str">
        <f t="shared" ref="B702:B708" si="131">CLEAN("CITY OF MANITOWOC")</f>
        <v>CITY OF MANITOWOC</v>
      </c>
      <c r="C702" s="2" t="s">
        <v>2341</v>
      </c>
      <c r="D702" s="2" t="str">
        <f>CLEAN("1470-37-00")</f>
        <v>1470-37-00</v>
      </c>
      <c r="E702" s="3" t="str">
        <f>CLEAN("MANITOWOC - TWO RIVERS")</f>
        <v>MANITOWOC - TWO RIVERS</v>
      </c>
      <c r="F702" s="3" t="str">
        <f>CLEAN("WALDO BLVD - E MAGNOLIA AVE")</f>
        <v>WALDO BLVD - E MAGNOLIA AVE</v>
      </c>
      <c r="G702" s="3" t="str">
        <f>CLEAN("DSGN RSRF20")</f>
        <v>DSGN RSRF20</v>
      </c>
      <c r="H702" s="2" t="str">
        <f>CLEAN("STH 042")</f>
        <v>STH 042</v>
      </c>
      <c r="I702" s="2" t="str">
        <f>CLEAN("303")</f>
        <v>303</v>
      </c>
    </row>
    <row r="703" spans="1:9" x14ac:dyDescent="0.35">
      <c r="A703" s="2" t="str">
        <f t="shared" si="130"/>
        <v>MANITOWOC</v>
      </c>
      <c r="B703" s="2" t="str">
        <f t="shared" si="131"/>
        <v>CITY OF MANITOWOC</v>
      </c>
      <c r="C703" s="2" t="s">
        <v>2347</v>
      </c>
      <c r="D703" s="2" t="str">
        <f>CLEAN("1470-38-00")</f>
        <v>1470-38-00</v>
      </c>
      <c r="E703" s="3" t="str">
        <f>CLEAN("C MANITOWOC  10TH &amp; 8TH STREETS")</f>
        <v>C MANITOWOC  10TH &amp; 8TH STREETS</v>
      </c>
      <c r="F703" s="3" t="str">
        <f>CLEAN("MANITOWOC RIVER BRIDGE B-36-128/142")</f>
        <v>MANITOWOC RIVER BRIDGE B-36-128/142</v>
      </c>
      <c r="G703" s="3" t="str">
        <f>CLEAN("DSGN/FULL PSE/BRRHB")</f>
        <v>DSGN/FULL PSE/BRRHB</v>
      </c>
      <c r="H703" s="2" t="str">
        <f>CLEAN("VAR HWY")</f>
        <v>VAR HWY</v>
      </c>
      <c r="I703" s="2" t="str">
        <f>CLEAN("303")</f>
        <v>303</v>
      </c>
    </row>
    <row r="704" spans="1:9" x14ac:dyDescent="0.35">
      <c r="A704" s="2" t="str">
        <f t="shared" si="130"/>
        <v>MANITOWOC</v>
      </c>
      <c r="B704" s="2" t="str">
        <f t="shared" si="131"/>
        <v>CITY OF MANITOWOC</v>
      </c>
      <c r="C704" s="2" t="s">
        <v>3386</v>
      </c>
      <c r="D704" s="2" t="str">
        <f>CLEAN("3700-30-45")</f>
        <v>3700-30-45</v>
      </c>
      <c r="E704" s="3" t="str">
        <f>CLEAN("C MANITOWOC  WASHINGTON ST")</f>
        <v>C MANITOWOC  WASHINGTON ST</v>
      </c>
      <c r="F704" s="3" t="str">
        <f>CLEAN("21ST ST INTERSECTION SIGNAL REHAB")</f>
        <v>21ST ST INTERSECTION SIGNAL REHAB</v>
      </c>
      <c r="G704" s="3" t="str">
        <f>CLEAN("TRF OPS/TOSIG NE2302L")</f>
        <v>TRF OPS/TOSIG NE2302L</v>
      </c>
      <c r="H704" s="2" t="str">
        <f>CLEAN("USH 151")</f>
        <v>USH 151</v>
      </c>
      <c r="I704" s="2" t="str">
        <f>CLEAN("305")</f>
        <v>305</v>
      </c>
    </row>
    <row r="705" spans="1:9" x14ac:dyDescent="0.35">
      <c r="A705" s="2" t="str">
        <f t="shared" si="130"/>
        <v>MANITOWOC</v>
      </c>
      <c r="B705" s="2" t="str">
        <f t="shared" si="131"/>
        <v>CITY OF MANITOWOC</v>
      </c>
      <c r="C705" s="2" t="s">
        <v>2466</v>
      </c>
      <c r="D705" s="2" t="str">
        <f>CLEAN("4100-42-00")</f>
        <v>4100-42-00</v>
      </c>
      <c r="E705" s="3" t="str">
        <f>CLEAN("CALUMET/WASHINGTON  C MANITOWOC")</f>
        <v>CALUMET/WASHINGTON  C MANITOWOC</v>
      </c>
      <c r="F705" s="3" t="str">
        <f>CLEAN("IH43 - S 8TH STREET")</f>
        <v>IH43 - S 8TH STREET</v>
      </c>
      <c r="G705" s="3" t="str">
        <f>CLEAN("DSN/FULL PSE/PVRPLA")</f>
        <v>DSN/FULL PSE/PVRPLA</v>
      </c>
      <c r="H705" s="2" t="str">
        <f>CLEAN("STH 042")</f>
        <v>STH 042</v>
      </c>
      <c r="I705" s="2" t="str">
        <f>CLEAN("303")</f>
        <v>303</v>
      </c>
    </row>
    <row r="706" spans="1:9" x14ac:dyDescent="0.35">
      <c r="A706" s="2" t="str">
        <f t="shared" si="130"/>
        <v>MANITOWOC</v>
      </c>
      <c r="B706" s="2" t="str">
        <f t="shared" si="131"/>
        <v>CITY OF MANITOWOC</v>
      </c>
      <c r="C706" s="2" t="s">
        <v>2476</v>
      </c>
      <c r="D706" s="2" t="str">
        <f>CLEAN("4991-06-76")</f>
        <v>4991-06-76</v>
      </c>
      <c r="E706" s="3" t="str">
        <f>CLEAN("C MANITOWOC  SOUTH 30TH STREET")</f>
        <v>C MANITOWOC  SOUTH 30TH STREET</v>
      </c>
      <c r="F706" s="3" t="str">
        <f>CLEAN("DEWEY STREET TO VIEBAHN STREET")</f>
        <v>DEWEY STREET TO VIEBAHN STREET</v>
      </c>
      <c r="G706" s="3" t="str">
        <f>CLEAN("DSN/FULL PSE/RECST")</f>
        <v>DSN/FULL PSE/RECST</v>
      </c>
      <c r="H706" s="2" t="str">
        <f>CLEAN("LOC STR")</f>
        <v>LOC STR</v>
      </c>
      <c r="I706" s="2" t="str">
        <f>CLEAN("206")</f>
        <v>206</v>
      </c>
    </row>
    <row r="707" spans="1:9" x14ac:dyDescent="0.35">
      <c r="A707" s="2" t="str">
        <f t="shared" si="130"/>
        <v>MANITOWOC</v>
      </c>
      <c r="B707" s="2" t="str">
        <f t="shared" si="131"/>
        <v>CITY OF MANITOWOC</v>
      </c>
      <c r="C707" s="2" t="s">
        <v>276</v>
      </c>
      <c r="D707" s="2" t="str">
        <f>CLEAN("4991-06-77")</f>
        <v>4991-06-77</v>
      </c>
      <c r="E707" s="3" t="str">
        <f>CLEAN("C MANITOWOC  SOUTH 30TH STREET")</f>
        <v>C MANITOWOC  SOUTH 30TH STREET</v>
      </c>
      <c r="F707" s="3" t="str">
        <f>CLEAN("DEWEY STREET TO VIEBAHN STREET")</f>
        <v>DEWEY STREET TO VIEBAHN STREET</v>
      </c>
      <c r="G707" s="3" t="str">
        <f>CLEAN("CONST OPS/RECST")</f>
        <v>CONST OPS/RECST</v>
      </c>
      <c r="H707" s="2" t="str">
        <f>CLEAN("LOC STR")</f>
        <v>LOC STR</v>
      </c>
      <c r="I707" s="2" t="str">
        <f>CLEAN("206")</f>
        <v>206</v>
      </c>
    </row>
    <row r="708" spans="1:9" x14ac:dyDescent="0.35">
      <c r="A708" s="2" t="str">
        <f t="shared" si="130"/>
        <v>MANITOWOC</v>
      </c>
      <c r="B708" s="2" t="str">
        <f t="shared" si="131"/>
        <v>CITY OF MANITOWOC</v>
      </c>
      <c r="C708" s="2" t="s">
        <v>2416</v>
      </c>
      <c r="D708" s="2" t="str">
        <f>CLEAN("4991-06-78")</f>
        <v>4991-06-78</v>
      </c>
      <c r="E708" s="3" t="str">
        <f>CLEAN("C MANITOWOC  E ALBERT DRIVE")</f>
        <v>C MANITOWOC  E ALBERT DRIVE</v>
      </c>
      <c r="F708" s="3" t="str">
        <f>CLEAN("MIRRO DRIVE TO JOHNSTON DRIVE")</f>
        <v>MIRRO DRIVE TO JOHNSTON DRIVE</v>
      </c>
      <c r="G708" s="3" t="str">
        <f>CLEAN("DSGN/FULL PSE/RECST")</f>
        <v>DSGN/FULL PSE/RECST</v>
      </c>
      <c r="H708" s="2" t="str">
        <f>CLEAN("LOC STR")</f>
        <v>LOC STR</v>
      </c>
      <c r="I708" s="2" t="str">
        <f>CLEAN("206")</f>
        <v>206</v>
      </c>
    </row>
    <row r="709" spans="1:9" x14ac:dyDescent="0.35">
      <c r="A709" s="2" t="str">
        <f t="shared" ref="A709:A714" si="132">CLEAN("MARINETTE")</f>
        <v>MARINETTE</v>
      </c>
      <c r="B709" s="2" t="str">
        <f t="shared" ref="B709:B714" si="133">CLEAN("CITY OF MARINETTE")</f>
        <v>CITY OF MARINETTE</v>
      </c>
      <c r="C709" s="2" t="s">
        <v>3375</v>
      </c>
      <c r="D709" s="2" t="str">
        <f>CLEAN("1150-81-00")</f>
        <v>1150-81-00</v>
      </c>
      <c r="E709" s="3" t="str">
        <f>CLEAN("C MARINETTE  USH 41")</f>
        <v>C MARINETTE  USH 41</v>
      </c>
      <c r="F709" s="3" t="str">
        <f>CLEAN("USH 41 &amp; CTH T INTERSECTION")</f>
        <v>USH 41 &amp; CTH T INTERSECTION</v>
      </c>
      <c r="G709" s="3" t="str">
        <f>CLEAN("TRF OPS/MISC")</f>
        <v>TRF OPS/MISC</v>
      </c>
      <c r="H709" s="2" t="str">
        <f>CLEAN("USH 041")</f>
        <v>USH 041</v>
      </c>
      <c r="I709" s="2" t="str">
        <f>CLEAN("303")</f>
        <v>303</v>
      </c>
    </row>
    <row r="710" spans="1:9" x14ac:dyDescent="0.35">
      <c r="A710" s="2" t="str">
        <f t="shared" si="132"/>
        <v>MARINETTE</v>
      </c>
      <c r="B710" s="2" t="str">
        <f t="shared" si="133"/>
        <v>CITY OF MARINETTE</v>
      </c>
      <c r="C710" s="2" t="s">
        <v>3368</v>
      </c>
      <c r="D710" s="2" t="str">
        <f>CLEAN("3700-30-57")</f>
        <v>3700-30-57</v>
      </c>
      <c r="E710" s="3" t="str">
        <f>CLEAN("C MARINETTE  US 41")</f>
        <v>C MARINETTE  US 41</v>
      </c>
      <c r="F710" s="3" t="str">
        <f>CLEAN("US 41/CLEVELAND &amp; US 41/HATTIE")</f>
        <v>US 41/CLEVELAND &amp; US 41/HATTIE</v>
      </c>
      <c r="G710" s="3" t="str">
        <f>CLEAN("TRF DSN/SIGNAL RETROFIT")</f>
        <v>TRF DSN/SIGNAL RETROFIT</v>
      </c>
      <c r="H710" s="2" t="str">
        <f>CLEAN("USH 041")</f>
        <v>USH 041</v>
      </c>
      <c r="I710" s="2" t="str">
        <f>CLEAN("305")</f>
        <v>305</v>
      </c>
    </row>
    <row r="711" spans="1:9" x14ac:dyDescent="0.35">
      <c r="A711" s="2" t="str">
        <f t="shared" si="132"/>
        <v>MARINETTE</v>
      </c>
      <c r="B711" s="2" t="str">
        <f t="shared" si="133"/>
        <v>CITY OF MARINETTE</v>
      </c>
      <c r="C711" s="2" t="s">
        <v>1943</v>
      </c>
      <c r="D711" s="2" t="str">
        <f>CLEAN("9995-05-72")</f>
        <v>9995-05-72</v>
      </c>
      <c r="E711" s="3" t="str">
        <f>CLEAN("C MARINETTE  MADISON AVENUE")</f>
        <v>C MARINETTE  MADISON AVENUE</v>
      </c>
      <c r="F711" s="3" t="str">
        <f>CLEAN("HALL AVENUE TO LEWIS STREET")</f>
        <v>HALL AVENUE TO LEWIS STREET</v>
      </c>
      <c r="G711" s="3" t="str">
        <f>CLEAN("DESIGN/FULL PSE/RECST")</f>
        <v>DESIGN/FULL PSE/RECST</v>
      </c>
      <c r="H711" s="2" t="str">
        <f>CLEAN("LOC STR")</f>
        <v>LOC STR</v>
      </c>
      <c r="I711" s="2" t="str">
        <f>CLEAN("206")</f>
        <v>206</v>
      </c>
    </row>
    <row r="712" spans="1:9" x14ac:dyDescent="0.35">
      <c r="A712" s="2" t="str">
        <f t="shared" si="132"/>
        <v>MARINETTE</v>
      </c>
      <c r="B712" s="2" t="str">
        <f t="shared" si="133"/>
        <v>CITY OF MARINETTE</v>
      </c>
      <c r="C712" s="2" t="s">
        <v>280</v>
      </c>
      <c r="D712" s="2" t="str">
        <f>CLEAN("9995-05-73")</f>
        <v>9995-05-73</v>
      </c>
      <c r="E712" s="3" t="str">
        <f>CLEAN("C MARINETTE  MADISON AVENUE")</f>
        <v>C MARINETTE  MADISON AVENUE</v>
      </c>
      <c r="F712" s="3" t="str">
        <f>CLEAN("HALL AVENUE TO LEWIS STREET")</f>
        <v>HALL AVENUE TO LEWIS STREET</v>
      </c>
      <c r="G712" s="3" t="str">
        <f>CLEAN("CONST OPS/RECST")</f>
        <v>CONST OPS/RECST</v>
      </c>
      <c r="H712" s="2" t="str">
        <f>CLEAN("LOC STR")</f>
        <v>LOC STR</v>
      </c>
      <c r="I712" s="2" t="str">
        <f>CLEAN("206")</f>
        <v>206</v>
      </c>
    </row>
    <row r="713" spans="1:9" x14ac:dyDescent="0.35">
      <c r="A713" s="2" t="str">
        <f t="shared" si="132"/>
        <v>MARINETTE</v>
      </c>
      <c r="B713" s="2" t="str">
        <f t="shared" si="133"/>
        <v>CITY OF MARINETTE</v>
      </c>
      <c r="C713" s="2" t="s">
        <v>3176</v>
      </c>
      <c r="D713" s="2" t="str">
        <f>CLEAN("9995-05-78")</f>
        <v>9995-05-78</v>
      </c>
      <c r="E713" s="3" t="str">
        <f>CLEAN("C MARINETTE - MAIN STREET")</f>
        <v>C MARINETTE - MAIN STREET</v>
      </c>
      <c r="F713" s="3" t="str">
        <f>CLEAN("HALL AVE - WELLS STREET")</f>
        <v>HALL AVE - WELLS STREET</v>
      </c>
      <c r="G713" s="3" t="str">
        <f>CLEAN("RECONST/LLC/TEA")</f>
        <v>RECONST/LLC/TEA</v>
      </c>
      <c r="H713" s="2" t="str">
        <f>CLEAN("LOC STR")</f>
        <v>LOC STR</v>
      </c>
      <c r="I713" s="2" t="str">
        <f>CLEAN("209")</f>
        <v>209</v>
      </c>
    </row>
    <row r="714" spans="1:9" x14ac:dyDescent="0.35">
      <c r="A714" s="2" t="str">
        <f t="shared" si="132"/>
        <v>MARINETTE</v>
      </c>
      <c r="B714" s="2" t="str">
        <f t="shared" si="133"/>
        <v>CITY OF MARINETTE</v>
      </c>
      <c r="C714" s="2" t="s">
        <v>3071</v>
      </c>
      <c r="D714" s="2" t="str">
        <f>CLEAN("9995-06-00")</f>
        <v>9995-06-00</v>
      </c>
      <c r="E714" s="3" t="str">
        <f>CLEAN("C MARINETTE  BIKE PED PLAN")</f>
        <v>C MARINETTE  BIKE PED PLAN</v>
      </c>
      <c r="F714" s="3" t="str">
        <f>CLEAN("CITY WIDE PLANNING STUDY")</f>
        <v>CITY WIDE PLANNING STUDY</v>
      </c>
      <c r="G714" s="3" t="str">
        <f>CLEAN("PLAN/MISC")</f>
        <v>PLAN/MISC</v>
      </c>
      <c r="H714" s="2" t="str">
        <f>CLEAN("NON HWY")</f>
        <v>NON HWY</v>
      </c>
      <c r="I714" s="2" t="str">
        <f>CLEAN("290")</f>
        <v>290</v>
      </c>
    </row>
    <row r="715" spans="1:9" x14ac:dyDescent="0.35">
      <c r="A715" s="2" t="str">
        <f>CLEAN("WOOD")</f>
        <v>WOOD</v>
      </c>
      <c r="B715" s="2" t="str">
        <f t="shared" ref="B715:B728" si="134">CLEAN("CITY OF MARSHFIELD")</f>
        <v>CITY OF MARSHFIELD</v>
      </c>
      <c r="C715" s="2" t="s">
        <v>1907</v>
      </c>
      <c r="D715" s="2" t="str">
        <f>CLEAN("6380-06-07")</f>
        <v>6380-06-07</v>
      </c>
      <c r="E715" s="3" t="str">
        <f>CLEAN("C MARSHFIELD  N CENTRAL AVENUE")</f>
        <v>C MARSHFIELD  N CENTRAL AVENUE</v>
      </c>
      <c r="F715" s="3" t="str">
        <f>CLEAN("ARNOLD STREET TO HARRISON STREET")</f>
        <v>ARNOLD STREET TO HARRISON STREET</v>
      </c>
      <c r="G715" s="3" t="str">
        <f>CLEAN("DESIGN/FULL PSE/PVRPLA")</f>
        <v>DESIGN/FULL PSE/PVRPLA</v>
      </c>
      <c r="H715" s="2" t="str">
        <f>CLEAN("STH 097")</f>
        <v>STH 097</v>
      </c>
      <c r="I715" s="2" t="str">
        <f>CLEAN("303")</f>
        <v>303</v>
      </c>
    </row>
    <row r="716" spans="1:9" x14ac:dyDescent="0.35">
      <c r="A716" s="2" t="str">
        <f>CLEAN("MARATHON")</f>
        <v>MARATHON</v>
      </c>
      <c r="B716" s="2" t="str">
        <f t="shared" si="134"/>
        <v>CITY OF MARSHFIELD</v>
      </c>
      <c r="C716" s="2" t="s">
        <v>1918</v>
      </c>
      <c r="D716" s="2" t="str">
        <f>CLEAN("6380-06-08")</f>
        <v>6380-06-08</v>
      </c>
      <c r="E716" s="3" t="str">
        <f>CLEAN("C MARSHFIELD  N CENTRAL AVENUE")</f>
        <v>C MARSHFIELD  N CENTRAL AVENUE</v>
      </c>
      <c r="F716" s="3" t="str">
        <f>CLEAN("MCMILLAN ST TO W NORTHRIDGE ST")</f>
        <v>MCMILLAN ST TO W NORTHRIDGE ST</v>
      </c>
      <c r="G716" s="3" t="str">
        <f>CLEAN("DESIGN/FULL PSE/PVRPLA")</f>
        <v>DESIGN/FULL PSE/PVRPLA</v>
      </c>
      <c r="H716" s="2" t="str">
        <f>CLEAN("STH 097")</f>
        <v>STH 097</v>
      </c>
      <c r="I716" s="2" t="str">
        <f>CLEAN("303")</f>
        <v>303</v>
      </c>
    </row>
    <row r="717" spans="1:9" x14ac:dyDescent="0.35">
      <c r="A717" s="2" t="str">
        <f t="shared" ref="A717:A722" si="135">CLEAN("WOOD")</f>
        <v>WOOD</v>
      </c>
      <c r="B717" s="2" t="str">
        <f t="shared" si="134"/>
        <v>CITY OF MARSHFIELD</v>
      </c>
      <c r="C717" s="2" t="s">
        <v>1713</v>
      </c>
      <c r="D717" s="2" t="str">
        <f>CLEAN("6995-07-01")</f>
        <v>6995-07-01</v>
      </c>
      <c r="E717" s="3" t="str">
        <f>CLEAN("C MARSHFIELD  WEST 5TH STREET")</f>
        <v>C MARSHFIELD  WEST 5TH STREET</v>
      </c>
      <c r="F717" s="3" t="str">
        <f>CLEAN("S OAK AVENUE TO S CHESTNUT AVENUE")</f>
        <v>S OAK AVENUE TO S CHESTNUT AVENUE</v>
      </c>
      <c r="G717" s="3" t="str">
        <f>CLEAN("DESIGN OVERSITE/RECONSTRUCT")</f>
        <v>DESIGN OVERSITE/RECONSTRUCT</v>
      </c>
      <c r="H717" s="2" t="str">
        <f>CLEAN("LOC STR")</f>
        <v>LOC STR</v>
      </c>
      <c r="I717" s="2" t="str">
        <f>CLEAN("206")</f>
        <v>206</v>
      </c>
    </row>
    <row r="718" spans="1:9" x14ac:dyDescent="0.35">
      <c r="A718" s="2" t="str">
        <f t="shared" si="135"/>
        <v>WOOD</v>
      </c>
      <c r="B718" s="2" t="str">
        <f t="shared" si="134"/>
        <v>CITY OF MARSHFIELD</v>
      </c>
      <c r="C718" s="2" t="s">
        <v>1935</v>
      </c>
      <c r="D718" s="2" t="str">
        <f>CLEAN("6995-11-03")</f>
        <v>6995-11-03</v>
      </c>
      <c r="E718" s="3" t="str">
        <f>CLEAN("C MARSHFIELD  SOUTH VINE AVENUE")</f>
        <v>C MARSHFIELD  SOUTH VINE AVENUE</v>
      </c>
      <c r="F718" s="3" t="str">
        <f>CLEAN("EAST 14TH STREET TO EAST 4TH STREET")</f>
        <v>EAST 14TH STREET TO EAST 4TH STREET</v>
      </c>
      <c r="G718" s="3" t="str">
        <f>CLEAN("DESIGN/FULL PSE/RECONSTRUCT")</f>
        <v>DESIGN/FULL PSE/RECONSTRUCT</v>
      </c>
      <c r="H718" s="2" t="str">
        <f>CLEAN("LOC STR")</f>
        <v>LOC STR</v>
      </c>
      <c r="I718" s="2" t="str">
        <f>CLEAN("206")</f>
        <v>206</v>
      </c>
    </row>
    <row r="719" spans="1:9" x14ac:dyDescent="0.35">
      <c r="A719" s="2" t="str">
        <f t="shared" si="135"/>
        <v>WOOD</v>
      </c>
      <c r="B719" s="2" t="str">
        <f t="shared" si="134"/>
        <v>CITY OF MARSHFIELD</v>
      </c>
      <c r="C719" s="2" t="s">
        <v>1936</v>
      </c>
      <c r="D719" s="2" t="str">
        <f>CLEAN("6995-11-04")</f>
        <v>6995-11-04</v>
      </c>
      <c r="E719" s="3" t="str">
        <f>CLEAN("C MARSHFIELD  SOUTH VINE AVENUE")</f>
        <v>C MARSHFIELD  SOUTH VINE AVENUE</v>
      </c>
      <c r="F719" s="3" t="str">
        <f>CLEAN("EAST 4TH STREET TO EAST 2ND STREET")</f>
        <v>EAST 4TH STREET TO EAST 2ND STREET</v>
      </c>
      <c r="G719" s="3" t="str">
        <f>CLEAN("DESIGN/FULL PSE/RECONSTRUCT")</f>
        <v>DESIGN/FULL PSE/RECONSTRUCT</v>
      </c>
      <c r="H719" s="2" t="str">
        <f>CLEAN("LOC STR")</f>
        <v>LOC STR</v>
      </c>
      <c r="I719" s="2" t="str">
        <f>CLEAN("206")</f>
        <v>206</v>
      </c>
    </row>
    <row r="720" spans="1:9" x14ac:dyDescent="0.35">
      <c r="A720" s="2" t="str">
        <f t="shared" si="135"/>
        <v>WOOD</v>
      </c>
      <c r="B720" s="2" t="str">
        <f t="shared" si="134"/>
        <v>CITY OF MARSHFIELD</v>
      </c>
      <c r="C720" s="2" t="s">
        <v>1901</v>
      </c>
      <c r="D720" s="2" t="str">
        <f>CLEAN("6995-12-01")</f>
        <v>6995-12-01</v>
      </c>
      <c r="E720" s="3" t="str">
        <f>CLEAN("ADLER ROAD TRAIL EXTENSION")</f>
        <v>ADLER ROAD TRAIL EXTENSION</v>
      </c>
      <c r="F720" s="3" t="str">
        <f>CLEAN("CITY OF MARSHFIELD")</f>
        <v>CITY OF MARSHFIELD</v>
      </c>
      <c r="G720" s="3" t="str">
        <f>CLEAN("DESIGN/FULL PSE/MISC")</f>
        <v>DESIGN/FULL PSE/MISC</v>
      </c>
      <c r="H720" s="2" t="str">
        <f>CLEAN("NON HWY")</f>
        <v>NON HWY</v>
      </c>
      <c r="I720" s="2" t="str">
        <f>CLEAN("290")</f>
        <v>290</v>
      </c>
    </row>
    <row r="721" spans="1:9" x14ac:dyDescent="0.35">
      <c r="A721" s="2" t="str">
        <f t="shared" si="135"/>
        <v>WOOD</v>
      </c>
      <c r="B721" s="2" t="str">
        <f t="shared" si="134"/>
        <v>CITY OF MARSHFIELD</v>
      </c>
      <c r="C721" s="2" t="s">
        <v>1938</v>
      </c>
      <c r="D721" s="2" t="str">
        <f>CLEAN("6995-12-02")</f>
        <v>6995-12-02</v>
      </c>
      <c r="E721" s="3" t="str">
        <f>CLEAN("C MARSHFIELD  EAST 4TH STREET")</f>
        <v>C MARSHFIELD  EAST 4TH STREET</v>
      </c>
      <c r="F721" s="3" t="str">
        <f>CLEAN("S MAPLE AVENUE TO S PEACH AVENUE")</f>
        <v>S MAPLE AVENUE TO S PEACH AVENUE</v>
      </c>
      <c r="G721" s="3" t="str">
        <f>CLEAN("DESIGN/FULL PSE/RECONSTRUCT")</f>
        <v>DESIGN/FULL PSE/RECONSTRUCT</v>
      </c>
      <c r="H721" s="2" t="str">
        <f>CLEAN("LOC STR")</f>
        <v>LOC STR</v>
      </c>
      <c r="I721" s="2" t="str">
        <f>CLEAN("206")</f>
        <v>206</v>
      </c>
    </row>
    <row r="722" spans="1:9" x14ac:dyDescent="0.35">
      <c r="A722" s="2" t="str">
        <f t="shared" si="135"/>
        <v>WOOD</v>
      </c>
      <c r="B722" s="2" t="str">
        <f t="shared" si="134"/>
        <v>CITY OF MARSHFIELD</v>
      </c>
      <c r="C722" s="2" t="s">
        <v>2034</v>
      </c>
      <c r="D722" s="2" t="str">
        <f>CLEAN("1009-45-71")</f>
        <v>1009-45-71</v>
      </c>
      <c r="E722" s="3" t="str">
        <f>CLEAN("C MARSHFIELD  TRAFFIC ANALYSIS")</f>
        <v>C MARSHFIELD  TRAFFIC ANALYSIS</v>
      </c>
      <c r="F722" s="3" t="str">
        <f>CLEAN("CITY WIDE TRAFFIC MODELING STUDY")</f>
        <v>CITY WIDE TRAFFIC MODELING STUDY</v>
      </c>
      <c r="G722" s="3" t="str">
        <f>CLEAN("DESIGN/MISC")</f>
        <v>DESIGN/MISC</v>
      </c>
      <c r="H722" s="2" t="str">
        <f>CLEAN("NON HWY")</f>
        <v>NON HWY</v>
      </c>
      <c r="I722" s="2" t="str">
        <f>CLEAN("206")</f>
        <v>206</v>
      </c>
    </row>
    <row r="723" spans="1:9" x14ac:dyDescent="0.35">
      <c r="A723" s="2" t="str">
        <f>CLEAN("MARATHON")</f>
        <v>MARATHON</v>
      </c>
      <c r="B723" s="2" t="str">
        <f t="shared" si="134"/>
        <v>CITY OF MARSHFIELD</v>
      </c>
      <c r="C723" s="2" t="s">
        <v>2024</v>
      </c>
      <c r="D723" s="2" t="str">
        <f>CLEAN("1620-03-06")</f>
        <v>1620-03-06</v>
      </c>
      <c r="E723" s="3" t="str">
        <f>CLEAN("C MARSHFIELD  VETERANS PARKWAY")</f>
        <v>C MARSHFIELD  VETERANS PARKWAY</v>
      </c>
      <c r="F723" s="3" t="str">
        <f>CLEAN("W MCMILLAN STREET TO MANN STREET")</f>
        <v>W MCMILLAN STREET TO MANN STREET</v>
      </c>
      <c r="G723" s="3" t="str">
        <f>CLEAN("DESIGN/FULL PSE/RESURFACE")</f>
        <v>DESIGN/FULL PSE/RESURFACE</v>
      </c>
      <c r="H723" s="2" t="str">
        <f>CLEAN("STH 013")</f>
        <v>STH 013</v>
      </c>
      <c r="I723" s="2" t="str">
        <f>CLEAN("303")</f>
        <v>303</v>
      </c>
    </row>
    <row r="724" spans="1:9" x14ac:dyDescent="0.35">
      <c r="A724" s="2" t="str">
        <f>CLEAN("WOOD")</f>
        <v>WOOD</v>
      </c>
      <c r="B724" s="2" t="str">
        <f t="shared" si="134"/>
        <v>CITY OF MARSHFIELD</v>
      </c>
      <c r="C724" s="2" t="s">
        <v>2012</v>
      </c>
      <c r="D724" s="2" t="str">
        <f>CLEAN("1620-03-31")</f>
        <v>1620-03-31</v>
      </c>
      <c r="E724" s="3" t="str">
        <f>CLEAN("C MARSHFIELD  VETERANS PARKWAY")</f>
        <v>C MARSHFIELD  VETERANS PARKWAY</v>
      </c>
      <c r="F724" s="3" t="str">
        <f>CLEAN("CHESTNUT STREET TO MCMILLAN STREET")</f>
        <v>CHESTNUT STREET TO MCMILLAN STREET</v>
      </c>
      <c r="G724" s="3" t="str">
        <f>CLEAN("DESIGN/FULL PSE/RESURFACE")</f>
        <v>DESIGN/FULL PSE/RESURFACE</v>
      </c>
      <c r="H724" s="2" t="str">
        <f>CLEAN("STH 013")</f>
        <v>STH 013</v>
      </c>
      <c r="I724" s="2" t="str">
        <f>CLEAN("303")</f>
        <v>303</v>
      </c>
    </row>
    <row r="725" spans="1:9" x14ac:dyDescent="0.35">
      <c r="A725" s="2" t="str">
        <f>CLEAN("WOOD")</f>
        <v>WOOD</v>
      </c>
      <c r="B725" s="2" t="str">
        <f t="shared" si="134"/>
        <v>CITY OF MARSHFIELD</v>
      </c>
      <c r="C725" s="2" t="s">
        <v>2558</v>
      </c>
      <c r="D725" s="2" t="str">
        <f>CLEAN("3700-40-37")</f>
        <v>3700-40-37</v>
      </c>
      <c r="E725" s="3" t="str">
        <f>CLEAN("C MARSHFIELD  SIGNAL INTERCONNECT")</f>
        <v>C MARSHFIELD  SIGNAL INTERCONNECT</v>
      </c>
      <c r="F725" s="3" t="str">
        <f>CLEAN("VARIOUS SIGNALIZED INTERSECTIONS")</f>
        <v>VARIOUS SIGNALIZED INTERSECTIONS</v>
      </c>
      <c r="G725" s="3" t="str">
        <f>CLEAN("ITS/MISC UPGRADES/STANDALONE PROG")</f>
        <v>ITS/MISC UPGRADES/STANDALONE PROG</v>
      </c>
      <c r="H725" s="2" t="str">
        <f>CLEAN("VAR HWY")</f>
        <v>VAR HWY</v>
      </c>
      <c r="I725" s="2" t="str">
        <f>CLEAN("305")</f>
        <v>305</v>
      </c>
    </row>
    <row r="726" spans="1:9" x14ac:dyDescent="0.35">
      <c r="A726" s="2" t="str">
        <f>CLEAN("WOOD")</f>
        <v>WOOD</v>
      </c>
      <c r="B726" s="2" t="str">
        <f t="shared" si="134"/>
        <v>CITY OF MARSHFIELD</v>
      </c>
      <c r="C726" s="2" t="s">
        <v>1905</v>
      </c>
      <c r="D726" s="2" t="str">
        <f>CLEAN("6380-06-39")</f>
        <v>6380-06-39</v>
      </c>
      <c r="E726" s="3" t="str">
        <f>CLEAN("C MARSHFIELD  N CENTRAL AVENUE")</f>
        <v>C MARSHFIELD  N CENTRAL AVENUE</v>
      </c>
      <c r="F726" s="3" t="str">
        <f>CLEAN("S GALVIN AVENUE TO CHESTNUT AVENUE")</f>
        <v>S GALVIN AVENUE TO CHESTNUT AVENUE</v>
      </c>
      <c r="G726" s="3" t="str">
        <f>CLEAN("DESIGN/FULL PSE/PSRS")</f>
        <v>DESIGN/FULL PSE/PSRS</v>
      </c>
      <c r="H726" s="2" t="str">
        <f>CLEAN("STH 013")</f>
        <v>STH 013</v>
      </c>
      <c r="I726" s="2" t="str">
        <f>CLEAN("303")</f>
        <v>303</v>
      </c>
    </row>
    <row r="727" spans="1:9" x14ac:dyDescent="0.35">
      <c r="A727" s="2" t="str">
        <f>CLEAN("WOOD")</f>
        <v>WOOD</v>
      </c>
      <c r="B727" s="2" t="str">
        <f t="shared" si="134"/>
        <v>CITY OF MARSHFIELD</v>
      </c>
      <c r="C727" s="2" t="s">
        <v>775</v>
      </c>
      <c r="D727" s="2" t="str">
        <f>CLEAN("6995-07-71")</f>
        <v>6995-07-71</v>
      </c>
      <c r="E727" s="3" t="str">
        <f>CLEAN("C MARSHFIELD  WEST 5TH STREET")</f>
        <v>C MARSHFIELD  WEST 5TH STREET</v>
      </c>
      <c r="F727" s="3" t="str">
        <f>CLEAN("S OAK AVENUE TO S CHESTNUT AVENUE")</f>
        <v>S OAK AVENUE TO S CHESTNUT AVENUE</v>
      </c>
      <c r="G727" s="3" t="str">
        <f>CLEAN("CONST/RECONSTRUCT")</f>
        <v>CONST/RECONSTRUCT</v>
      </c>
      <c r="H727" s="2" t="str">
        <f>CLEAN("LOC STR")</f>
        <v>LOC STR</v>
      </c>
      <c r="I727" s="2" t="str">
        <f>CLEAN("206")</f>
        <v>206</v>
      </c>
    </row>
    <row r="728" spans="1:9" x14ac:dyDescent="0.35">
      <c r="A728" s="2" t="str">
        <f>CLEAN("WOOD")</f>
        <v>WOOD</v>
      </c>
      <c r="B728" s="2" t="str">
        <f t="shared" si="134"/>
        <v>CITY OF MARSHFIELD</v>
      </c>
      <c r="C728" s="2" t="s">
        <v>621</v>
      </c>
      <c r="D728" s="2" t="str">
        <f>CLEAN("6995-12-71")</f>
        <v>6995-12-71</v>
      </c>
      <c r="E728" s="3" t="str">
        <f>CLEAN("ADLER ROAD TRAIL EXTENSION")</f>
        <v>ADLER ROAD TRAIL EXTENSION</v>
      </c>
      <c r="F728" s="3" t="str">
        <f>CLEAN("CITY OF MARSHFIELD")</f>
        <v>CITY OF MARSHFIELD</v>
      </c>
      <c r="G728" s="3" t="str">
        <f>CLEAN("CONST/MISC")</f>
        <v>CONST/MISC</v>
      </c>
      <c r="H728" s="2" t="str">
        <f>CLEAN("NON HWY")</f>
        <v>NON HWY</v>
      </c>
      <c r="I728" s="2" t="str">
        <f>CLEAN("290")</f>
        <v>290</v>
      </c>
    </row>
    <row r="729" spans="1:9" x14ac:dyDescent="0.35">
      <c r="A729" s="2" t="str">
        <f>CLEAN("JUNEAU")</f>
        <v>JUNEAU</v>
      </c>
      <c r="B729" s="2" t="str">
        <f>CLEAN("CITY OF MAUSTON")</f>
        <v>CITY OF MAUSTON</v>
      </c>
      <c r="C729" s="2" t="s">
        <v>2307</v>
      </c>
      <c r="D729" s="2" t="str">
        <f>CLEAN("6639-04-03")</f>
        <v>6639-04-03</v>
      </c>
      <c r="E729" s="3" t="str">
        <f>CLEAN("C MAUSTON  N UNION STREET")</f>
        <v>C MAUSTON  N UNION STREET</v>
      </c>
      <c r="F729" s="3" t="str">
        <f>CLEAN("MADISON STREET TO CTH G")</f>
        <v>MADISON STREET TO CTH G</v>
      </c>
      <c r="G729" s="3" t="str">
        <f>CLEAN("DESIGN-FULL PS&amp;E PVRPLA")</f>
        <v>DESIGN-FULL PS&amp;E PVRPLA</v>
      </c>
      <c r="H729" s="2" t="str">
        <f>CLEAN("STH 058")</f>
        <v>STH 058</v>
      </c>
      <c r="I729" s="2" t="str">
        <f>CLEAN("303")</f>
        <v>303</v>
      </c>
    </row>
    <row r="730" spans="1:9" x14ac:dyDescent="0.35">
      <c r="A730" s="2" t="str">
        <f>CLEAN("TAYLOR")</f>
        <v>TAYLOR</v>
      </c>
      <c r="B730" s="2" t="str">
        <f>CLEAN("CITY OF MEDFORD")</f>
        <v>CITY OF MEDFORD</v>
      </c>
      <c r="C730" s="2" t="s">
        <v>1346</v>
      </c>
      <c r="D730" s="2" t="str">
        <f>CLEAN("1610-01-76")</f>
        <v>1610-01-76</v>
      </c>
      <c r="E730" s="3" t="str">
        <f>CLEAN("ABBOTSFORD - MEDFORD")</f>
        <v>ABBOTSFORD - MEDFORD</v>
      </c>
      <c r="F730" s="3" t="str">
        <f>CLEAN("CTH O TO TAYLOR STREET")</f>
        <v>CTH O TO TAYLOR STREET</v>
      </c>
      <c r="G730" s="3" t="str">
        <f>CLEAN("CONSTRUCTION/RESURFACE")</f>
        <v>CONSTRUCTION/RESURFACE</v>
      </c>
      <c r="H730" s="2" t="str">
        <f>CLEAN("STH 013")</f>
        <v>STH 013</v>
      </c>
      <c r="I730" s="2" t="str">
        <f>CLEAN("303")</f>
        <v>303</v>
      </c>
    </row>
    <row r="731" spans="1:9" x14ac:dyDescent="0.35">
      <c r="A731" s="2" t="str">
        <f>CLEAN("TAYLOR")</f>
        <v>TAYLOR</v>
      </c>
      <c r="B731" s="2" t="str">
        <f>CLEAN("CITY OF MEDFORD")</f>
        <v>CITY OF MEDFORD</v>
      </c>
      <c r="C731" s="2" t="s">
        <v>2270</v>
      </c>
      <c r="D731" s="2" t="str">
        <f>CLEAN("8220-00-06")</f>
        <v>8220-00-06</v>
      </c>
      <c r="E731" s="3" t="str">
        <f>CLEAN("GILMAN - MEDFORD")</f>
        <v>GILMAN - MEDFORD</v>
      </c>
      <c r="F731" s="3" t="str">
        <f>CLEAN("NATIONAL AVE TO STH 13")</f>
        <v>NATIONAL AVE TO STH 13</v>
      </c>
      <c r="G731" s="3" t="str">
        <f>CLEAN("DESIGN/RESURFACE")</f>
        <v>DESIGN/RESURFACE</v>
      </c>
      <c r="H731" s="2" t="str">
        <f>CLEAN("STH 064")</f>
        <v>STH 064</v>
      </c>
      <c r="I731" s="2" t="str">
        <f>CLEAN("303")</f>
        <v>303</v>
      </c>
    </row>
    <row r="732" spans="1:9" x14ac:dyDescent="0.35">
      <c r="A732" s="2" t="str">
        <f>CLEAN("TAYLOR")</f>
        <v>TAYLOR</v>
      </c>
      <c r="B732" s="2" t="str">
        <f>CLEAN("CITY OF MEDFORD")</f>
        <v>CITY OF MEDFORD</v>
      </c>
      <c r="C732" s="2" t="s">
        <v>1352</v>
      </c>
      <c r="D732" s="2" t="str">
        <f>CLEAN("8220-00-76")</f>
        <v>8220-00-76</v>
      </c>
      <c r="E732" s="3" t="str">
        <f>CLEAN("GILMAN - MEDFORD")</f>
        <v>GILMAN - MEDFORD</v>
      </c>
      <c r="F732" s="3" t="str">
        <f>CLEAN("NATIONAL AVE TO STH 13")</f>
        <v>NATIONAL AVE TO STH 13</v>
      </c>
      <c r="G732" s="3" t="str">
        <f>CLEAN("CONSTRUCTION/RESURFACE")</f>
        <v>CONSTRUCTION/RESURFACE</v>
      </c>
      <c r="H732" s="2" t="str">
        <f>CLEAN("STH 064")</f>
        <v>STH 064</v>
      </c>
      <c r="I732" s="2" t="str">
        <f>CLEAN("303")</f>
        <v>303</v>
      </c>
    </row>
    <row r="733" spans="1:9" x14ac:dyDescent="0.35">
      <c r="A733" s="2" t="str">
        <f>CLEAN("TAYLOR")</f>
        <v>TAYLOR</v>
      </c>
      <c r="B733" s="2" t="str">
        <f>CLEAN("CITY OF MEDFORD")</f>
        <v>CITY OF MEDFORD</v>
      </c>
      <c r="C733" s="2" t="s">
        <v>1649</v>
      </c>
      <c r="D733" s="2" t="str">
        <f>CLEAN("8890-00-05")</f>
        <v>8890-00-05</v>
      </c>
      <c r="E733" s="3" t="str">
        <f>CLEAN("C MEDFORD  NINTH STREET")</f>
        <v>C MEDFORD  NINTH STREET</v>
      </c>
      <c r="F733" s="3" t="str">
        <f>CLEAN("EASTVIEW DR TO E BROADWAY AVE")</f>
        <v>EASTVIEW DR TO E BROADWAY AVE</v>
      </c>
      <c r="G733" s="3" t="str">
        <f>CLEAN("DESIGN - FULL PS&amp;E/RECONSTRUCTION")</f>
        <v>DESIGN - FULL PS&amp;E/RECONSTRUCTION</v>
      </c>
      <c r="H733" s="2" t="str">
        <f>CLEAN("LOC STR")</f>
        <v>LOC STR</v>
      </c>
      <c r="I733" s="2" t="str">
        <f>CLEAN("206")</f>
        <v>206</v>
      </c>
    </row>
    <row r="734" spans="1:9" x14ac:dyDescent="0.35">
      <c r="A734" s="2" t="str">
        <f>CLEAN("TAYLOR")</f>
        <v>TAYLOR</v>
      </c>
      <c r="B734" s="2" t="str">
        <f>CLEAN("CITY OF MEDFORD")</f>
        <v>CITY OF MEDFORD</v>
      </c>
      <c r="C734" s="2" t="s">
        <v>1325</v>
      </c>
      <c r="D734" s="2" t="str">
        <f>CLEAN("8890-00-75")</f>
        <v>8890-00-75</v>
      </c>
      <c r="E734" s="3" t="str">
        <f>CLEAN("C MEDFORD  NINTH STREET")</f>
        <v>C MEDFORD  NINTH STREET</v>
      </c>
      <c r="F734" s="3" t="str">
        <f>CLEAN("EASTVIEW DR TO E BROADWAY AVE")</f>
        <v>EASTVIEW DR TO E BROADWAY AVE</v>
      </c>
      <c r="G734" s="3" t="str">
        <f>CLEAN("CONSTRUCTION/RECONSTRUCTION")</f>
        <v>CONSTRUCTION/RECONSTRUCTION</v>
      </c>
      <c r="H734" s="2" t="str">
        <f>CLEAN("LOC STR")</f>
        <v>LOC STR</v>
      </c>
      <c r="I734" s="2" t="str">
        <f>CLEAN("206")</f>
        <v>206</v>
      </c>
    </row>
    <row r="735" spans="1:9" x14ac:dyDescent="0.35">
      <c r="A735" s="2" t="str">
        <f>CLEAN("ASHLAND")</f>
        <v>ASHLAND</v>
      </c>
      <c r="B735" s="2" t="str">
        <f>CLEAN("CITY OF MELLEN")</f>
        <v>CITY OF MELLEN</v>
      </c>
      <c r="C735" s="2" t="s">
        <v>1287</v>
      </c>
      <c r="D735" s="2" t="str">
        <f>CLEAN("1610-00-78")</f>
        <v>1610-00-78</v>
      </c>
      <c r="E735" s="3" t="str">
        <f>CLEAN("MELLEN - ASHLAND")</f>
        <v>MELLEN - ASHLAND</v>
      </c>
      <c r="F735" s="3" t="str">
        <f>CLEAN("JEFFERSON AVE TO GOLF COURSE ROAD")</f>
        <v>JEFFERSON AVE TO GOLF COURSE ROAD</v>
      </c>
      <c r="G735" s="3" t="str">
        <f>CLEAN("CONSTRUCTION/LOCAL UTILITIES")</f>
        <v>CONSTRUCTION/LOCAL UTILITIES</v>
      </c>
      <c r="H735" s="2" t="str">
        <f>CLEAN("STH 013")</f>
        <v>STH 013</v>
      </c>
      <c r="I735" s="2" t="str">
        <f>CLEAN("303")</f>
        <v>303</v>
      </c>
    </row>
    <row r="736" spans="1:9" x14ac:dyDescent="0.35">
      <c r="A736" s="2" t="str">
        <f>CLEAN("WINNEBAGO")</f>
        <v>WINNEBAGO</v>
      </c>
      <c r="B736" s="2" t="str">
        <f t="shared" ref="B736:B742" si="136">CLEAN("CITY OF MENASHA")</f>
        <v>CITY OF MENASHA</v>
      </c>
      <c r="C736" s="2" t="s">
        <v>2442</v>
      </c>
      <c r="D736" s="2" t="str">
        <f>CLEAN("4065-17-00")</f>
        <v>4065-17-00</v>
      </c>
      <c r="E736" s="3" t="str">
        <f>CLEAN("PLANK ROAD  CITY OF MENASHA")</f>
        <v>PLANK ROAD  CITY OF MENASHA</v>
      </c>
      <c r="F736" s="3" t="str">
        <f>CLEAN("MANITOWOC STREET-MELISSA STREET")</f>
        <v>MANITOWOC STREET-MELISSA STREET</v>
      </c>
      <c r="G736" s="3" t="str">
        <f>CLEAN("DSGN/RECST")</f>
        <v>DSGN/RECST</v>
      </c>
      <c r="H736" s="2" t="str">
        <f>CLEAN("STH 114")</f>
        <v>STH 114</v>
      </c>
      <c r="I736" s="2" t="str">
        <f>CLEAN("303")</f>
        <v>303</v>
      </c>
    </row>
    <row r="737" spans="1:9" x14ac:dyDescent="0.35">
      <c r="A737" s="2" t="str">
        <f>CLEAN("WINNEBAGO")</f>
        <v>WINNEBAGO</v>
      </c>
      <c r="B737" s="2" t="str">
        <f t="shared" si="136"/>
        <v>CITY OF MENASHA</v>
      </c>
      <c r="C737" s="2" t="s">
        <v>2428</v>
      </c>
      <c r="D737" s="2" t="str">
        <f>CLEAN("4065-20-00")</f>
        <v>4065-20-00</v>
      </c>
      <c r="E737" s="3" t="str">
        <f>CLEAN("C MENASHA  WASHINGTON/TAYCO ST")</f>
        <v>C MENASHA  WASHINGTON/TAYCO ST</v>
      </c>
      <c r="F737" s="3" t="str">
        <f>CLEAN("NICOLET BLVD - 3RD ST")</f>
        <v>NICOLET BLVD - 3RD ST</v>
      </c>
      <c r="G737" s="3" t="str">
        <f>CLEAN("DSGN/FULL PSE/RSRF20")</f>
        <v>DSGN/FULL PSE/RSRF20</v>
      </c>
      <c r="H737" s="2" t="str">
        <f>CLEAN("STH 114")</f>
        <v>STH 114</v>
      </c>
      <c r="I737" s="2" t="str">
        <f>CLEAN("303")</f>
        <v>303</v>
      </c>
    </row>
    <row r="738" spans="1:9" x14ac:dyDescent="0.35">
      <c r="A738" s="2" t="str">
        <f>CLEAN("CALUMET")</f>
        <v>CALUMET</v>
      </c>
      <c r="B738" s="2" t="str">
        <f t="shared" si="136"/>
        <v>CITY OF MENASHA</v>
      </c>
      <c r="C738" s="2" t="s">
        <v>3074</v>
      </c>
      <c r="D738" s="2" t="str">
        <f>CLEAN("4479-05-00")</f>
        <v>4479-05-00</v>
      </c>
      <c r="E738" s="3" t="str">
        <f>CLEAN("C MENASHA  FEASIBILITY STUDY")</f>
        <v>C MENASHA  FEASIBILITY STUDY</v>
      </c>
      <c r="F738" s="3" t="str">
        <f>CLEAN("STH 114")</f>
        <v>STH 114</v>
      </c>
      <c r="G738" s="3" t="str">
        <f>CLEAN("PLAN/MISC")</f>
        <v>PLAN/MISC</v>
      </c>
      <c r="H738" s="2" t="str">
        <f>CLEAN("NON HWY")</f>
        <v>NON HWY</v>
      </c>
      <c r="I738" s="2" t="str">
        <f>CLEAN("290")</f>
        <v>290</v>
      </c>
    </row>
    <row r="739" spans="1:9" x14ac:dyDescent="0.35">
      <c r="A739" s="2" t="str">
        <f>CLEAN("WINNEBAGO")</f>
        <v>WINNEBAGO</v>
      </c>
      <c r="B739" s="2" t="str">
        <f t="shared" si="136"/>
        <v>CITY OF MENASHA</v>
      </c>
      <c r="C739" s="2" t="s">
        <v>2446</v>
      </c>
      <c r="D739" s="2" t="str">
        <f>CLEAN("4992-00-59")</f>
        <v>4992-00-59</v>
      </c>
      <c r="E739" s="3" t="str">
        <f>CLEAN("C MENASHA  RACINE STREET")</f>
        <v>C MENASHA  RACINE STREET</v>
      </c>
      <c r="F739" s="3" t="str">
        <f>CLEAN("THIRD STREET TO NINTH STREET")</f>
        <v>THIRD STREET TO NINTH STREET</v>
      </c>
      <c r="G739" s="3" t="str">
        <f>CLEAN("DSGN/RECST")</f>
        <v>DSGN/RECST</v>
      </c>
      <c r="H739" s="2" t="str">
        <f>CLEAN("LOC STR")</f>
        <v>LOC STR</v>
      </c>
      <c r="I739" s="2" t="str">
        <f>CLEAN("206")</f>
        <v>206</v>
      </c>
    </row>
    <row r="740" spans="1:9" x14ac:dyDescent="0.35">
      <c r="A740" s="2" t="str">
        <f>CLEAN("WINNEBAGO")</f>
        <v>WINNEBAGO</v>
      </c>
      <c r="B740" s="2" t="str">
        <f t="shared" si="136"/>
        <v>CITY OF MENASHA</v>
      </c>
      <c r="C740" s="2" t="s">
        <v>286</v>
      </c>
      <c r="D740" s="2" t="str">
        <f>CLEAN("4992-00-60")</f>
        <v>4992-00-60</v>
      </c>
      <c r="E740" s="3" t="str">
        <f>CLEAN("C MENASHA  RACINE STREET")</f>
        <v>C MENASHA  RACINE STREET</v>
      </c>
      <c r="F740" s="3" t="str">
        <f>CLEAN("THIRD STREET TO NINTH STREET")</f>
        <v>THIRD STREET TO NINTH STREET</v>
      </c>
      <c r="G740" s="3" t="str">
        <f>CLEAN("CONST OPS/RECST")</f>
        <v>CONST OPS/RECST</v>
      </c>
      <c r="H740" s="2" t="str">
        <f>CLEAN("LOC STR")</f>
        <v>LOC STR</v>
      </c>
      <c r="I740" s="2" t="str">
        <f>CLEAN("206")</f>
        <v>206</v>
      </c>
    </row>
    <row r="741" spans="1:9" x14ac:dyDescent="0.35">
      <c r="A741" s="2" t="str">
        <f>CLEAN("WINNEBAGO")</f>
        <v>WINNEBAGO</v>
      </c>
      <c r="B741" s="2" t="str">
        <f t="shared" si="136"/>
        <v>CITY OF MENASHA</v>
      </c>
      <c r="C741" s="2" t="s">
        <v>3296</v>
      </c>
      <c r="D741" s="2" t="str">
        <f>CLEAN("4992-00-67")</f>
        <v>4992-00-67</v>
      </c>
      <c r="E741" s="3" t="str">
        <f>CLEAN("C MENASHA  RACINE STREET")</f>
        <v>C MENASHA  RACINE STREET</v>
      </c>
      <c r="F741" s="3" t="str">
        <f>CLEAN("CN RR XING SIGNAL 690283C MP 2.02")</f>
        <v>CN RR XING SIGNAL 690283C MP 2.02</v>
      </c>
      <c r="G741" s="3" t="str">
        <f>CLEAN("RR/MISC SIGNAL 690283C")</f>
        <v>RR/MISC SIGNAL 690283C</v>
      </c>
      <c r="H741" s="2" t="str">
        <f>CLEAN("LOC STR")</f>
        <v>LOC STR</v>
      </c>
      <c r="I741" s="2" t="str">
        <f>CLEAN("206")</f>
        <v>206</v>
      </c>
    </row>
    <row r="742" spans="1:9" x14ac:dyDescent="0.35">
      <c r="A742" s="2" t="str">
        <f>CLEAN("WINNEBAGO")</f>
        <v>WINNEBAGO</v>
      </c>
      <c r="B742" s="2" t="str">
        <f t="shared" si="136"/>
        <v>CITY OF MENASHA</v>
      </c>
      <c r="C742" s="2" t="s">
        <v>398</v>
      </c>
      <c r="D742" s="2" t="str">
        <f>CLEAN("4992-03-71")</f>
        <v>4992-03-71</v>
      </c>
      <c r="E742" s="3" t="str">
        <f>CLEAN("RACINE STREET BRIDGE  C OF MENASHA")</f>
        <v>RACINE STREET BRIDGE  C OF MENASHA</v>
      </c>
      <c r="F742" s="3" t="str">
        <f>CLEAN("FOX RIVER BRIDGE AND APPROACHES")</f>
        <v>FOX RIVER BRIDGE AND APPROACHES</v>
      </c>
      <c r="G742" s="3" t="str">
        <f>CLEAN("CONST/BRIDGE REPLACE 84.10 BRIDGE")</f>
        <v>CONST/BRIDGE REPLACE 84.10 BRIDGE</v>
      </c>
      <c r="H742" s="2" t="str">
        <f>CLEAN("LOC STR")</f>
        <v>LOC STR</v>
      </c>
      <c r="I742" s="2" t="str">
        <f t="shared" ref="I742:I750" si="137">CLEAN("303")</f>
        <v>303</v>
      </c>
    </row>
    <row r="743" spans="1:9" x14ac:dyDescent="0.35">
      <c r="A743" s="2" t="str">
        <f t="shared" ref="A743:A754" si="138">CLEAN("DUNN")</f>
        <v>DUNN</v>
      </c>
      <c r="B743" s="2" t="str">
        <f t="shared" ref="B743:B754" si="139">CLEAN("CITY OF MENOMONIE")</f>
        <v>CITY OF MENOMONIE</v>
      </c>
      <c r="C743" s="2" t="s">
        <v>2278</v>
      </c>
      <c r="D743" s="2" t="str">
        <f>CLEAN("8100-01-02")</f>
        <v>8100-01-02</v>
      </c>
      <c r="E743" s="3" t="str">
        <f>CLEAN("MENOMONIE - RIDGELAND")</f>
        <v>MENOMONIE - RIDGELAND</v>
      </c>
      <c r="F743" s="3" t="str">
        <f>CLEAN("IH 94 TO CTH D")</f>
        <v>IH 94 TO CTH D</v>
      </c>
      <c r="G743" s="3" t="str">
        <f>CLEAN("DESIGN/RESURFACING/COLD20")</f>
        <v>DESIGN/RESURFACING/COLD20</v>
      </c>
      <c r="H743" s="2" t="str">
        <f>CLEAN("STH 025")</f>
        <v>STH 025</v>
      </c>
      <c r="I743" s="2" t="str">
        <f t="shared" si="137"/>
        <v>303</v>
      </c>
    </row>
    <row r="744" spans="1:9" x14ac:dyDescent="0.35">
      <c r="A744" s="2" t="str">
        <f t="shared" si="138"/>
        <v>DUNN</v>
      </c>
      <c r="B744" s="2" t="str">
        <f t="shared" si="139"/>
        <v>CITY OF MENOMONIE</v>
      </c>
      <c r="C744" s="2" t="s">
        <v>2271</v>
      </c>
      <c r="D744" s="2" t="str">
        <f>CLEAN("7220-00-08")</f>
        <v>7220-00-08</v>
      </c>
      <c r="E744" s="3" t="str">
        <f>CLEAN("DURAND - MENOMONIE")</f>
        <v>DURAND - MENOMONIE</v>
      </c>
      <c r="F744" s="3" t="str">
        <f>CLEAN("RED CEDAR RIVER TO 490TH STREET")</f>
        <v>RED CEDAR RIVER TO 490TH STREET</v>
      </c>
      <c r="G744" s="3" t="str">
        <f>CLEAN("DESIGN/RESURFACE")</f>
        <v>DESIGN/RESURFACE</v>
      </c>
      <c r="H744" s="2" t="str">
        <f>CLEAN("STH 025")</f>
        <v>STH 025</v>
      </c>
      <c r="I744" s="2" t="str">
        <f t="shared" si="137"/>
        <v>303</v>
      </c>
    </row>
    <row r="745" spans="1:9" x14ac:dyDescent="0.35">
      <c r="A745" s="2" t="str">
        <f t="shared" si="138"/>
        <v>DUNN</v>
      </c>
      <c r="B745" s="2" t="str">
        <f t="shared" si="139"/>
        <v>CITY OF MENOMONIE</v>
      </c>
      <c r="C745" s="2" t="s">
        <v>1541</v>
      </c>
      <c r="D745" s="2" t="str">
        <f>CLEAN("7220-00-09")</f>
        <v>7220-00-09</v>
      </c>
      <c r="E745" s="3" t="str">
        <f>CLEAN("DURAND - MENOMONIE")</f>
        <v>DURAND - MENOMONIE</v>
      </c>
      <c r="F745" s="3" t="str">
        <f>CLEAN("12TH AVE TO USH 12 E")</f>
        <v>12TH AVE TO USH 12 E</v>
      </c>
      <c r="G745" s="3" t="str">
        <f>CLEAN("DESIGN - FULL PS&amp;E RESURFACE")</f>
        <v>DESIGN - FULL PS&amp;E RESURFACE</v>
      </c>
      <c r="H745" s="2" t="str">
        <f>CLEAN("STH 025")</f>
        <v>STH 025</v>
      </c>
      <c r="I745" s="2" t="str">
        <f t="shared" si="137"/>
        <v>303</v>
      </c>
    </row>
    <row r="746" spans="1:9" x14ac:dyDescent="0.35">
      <c r="A746" s="2" t="str">
        <f t="shared" si="138"/>
        <v>DUNN</v>
      </c>
      <c r="B746" s="2" t="str">
        <f t="shared" si="139"/>
        <v>CITY OF MENOMONIE</v>
      </c>
      <c r="C746" s="2" t="s">
        <v>1542</v>
      </c>
      <c r="D746" s="2" t="str">
        <f>CLEAN("7600-00-03")</f>
        <v>7600-00-03</v>
      </c>
      <c r="E746" s="3" t="str">
        <f>CLEAN("MENOMONIE - EAU CLAIRE")</f>
        <v>MENOMONIE - EAU CLAIRE</v>
      </c>
      <c r="F746" s="3" t="str">
        <f>CLEAN("4TH AVENUE WEST TO 6TH STREET EAST")</f>
        <v>4TH AVENUE WEST TO 6TH STREET EAST</v>
      </c>
      <c r="G746" s="3" t="str">
        <f>CLEAN("DESIGN - FULL PS&amp;E RESURFACE")</f>
        <v>DESIGN - FULL PS&amp;E RESURFACE</v>
      </c>
      <c r="H746" s="2" t="str">
        <f>CLEAN("USH 012")</f>
        <v>USH 012</v>
      </c>
      <c r="I746" s="2" t="str">
        <f t="shared" si="137"/>
        <v>303</v>
      </c>
    </row>
    <row r="747" spans="1:9" x14ac:dyDescent="0.35">
      <c r="A747" s="2" t="str">
        <f t="shared" si="138"/>
        <v>DUNN</v>
      </c>
      <c r="B747" s="2" t="str">
        <f t="shared" si="139"/>
        <v>CITY OF MENOMONIE</v>
      </c>
      <c r="C747" s="2" t="s">
        <v>3360</v>
      </c>
      <c r="D747" s="2" t="str">
        <f>CLEAN("7600-00-04")</f>
        <v>7600-00-04</v>
      </c>
      <c r="E747" s="3" t="str">
        <f>CLEAN("C MENOMONIE  VARIOUS HWYS")</f>
        <v>C MENOMONIE  VARIOUS HWYS</v>
      </c>
      <c r="F747" s="3" t="str">
        <f>CLEAN("USH 12  STH 25  STH 29")</f>
        <v>USH 12  STH 25  STH 29</v>
      </c>
      <c r="G747" s="3" t="str">
        <f>CLEAN("TRAFFIC STUDY")</f>
        <v>TRAFFIC STUDY</v>
      </c>
      <c r="H747" s="2" t="str">
        <f>CLEAN("USH 012")</f>
        <v>USH 012</v>
      </c>
      <c r="I747" s="2" t="str">
        <f t="shared" si="137"/>
        <v>303</v>
      </c>
    </row>
    <row r="748" spans="1:9" x14ac:dyDescent="0.35">
      <c r="A748" s="2" t="str">
        <f t="shared" si="138"/>
        <v>DUNN</v>
      </c>
      <c r="B748" s="2" t="str">
        <f t="shared" si="139"/>
        <v>CITY OF MENOMONIE</v>
      </c>
      <c r="C748" s="2" t="s">
        <v>1563</v>
      </c>
      <c r="D748" s="2" t="str">
        <f>CLEAN("7600-00-06")</f>
        <v>7600-00-06</v>
      </c>
      <c r="E748" s="3" t="str">
        <f>CLEAN("MENOMONIE - EAU CLAIRE")</f>
        <v>MENOMONIE - EAU CLAIRE</v>
      </c>
      <c r="F748" s="3" t="str">
        <f>CLEAN("RED CEDAR RIVER BRIDGE B-17-0130")</f>
        <v>RED CEDAR RIVER BRIDGE B-17-0130</v>
      </c>
      <c r="G748" s="3" t="str">
        <f>CLEAN("DESIGN - FULL PS&amp;E/BRRHB")</f>
        <v>DESIGN - FULL PS&amp;E/BRRHB</v>
      </c>
      <c r="H748" s="2" t="str">
        <f>CLEAN("USH 012")</f>
        <v>USH 012</v>
      </c>
      <c r="I748" s="2" t="str">
        <f t="shared" si="137"/>
        <v>303</v>
      </c>
    </row>
    <row r="749" spans="1:9" x14ac:dyDescent="0.35">
      <c r="A749" s="2" t="str">
        <f t="shared" si="138"/>
        <v>DUNN</v>
      </c>
      <c r="B749" s="2" t="str">
        <f t="shared" si="139"/>
        <v>CITY OF MENOMONIE</v>
      </c>
      <c r="C749" s="2" t="s">
        <v>1549</v>
      </c>
      <c r="D749" s="2" t="str">
        <f>CLEAN("7610-00-08")</f>
        <v>7610-00-08</v>
      </c>
      <c r="E749" s="3" t="str">
        <f>CLEAN("SPRING VALLEY - MENOMONIE")</f>
        <v>SPRING VALLEY - MENOMONIE</v>
      </c>
      <c r="F749" s="3" t="str">
        <f>CLEAN("STH 25 S TO USH 12 E/MAIN ST")</f>
        <v>STH 25 S TO USH 12 E/MAIN ST</v>
      </c>
      <c r="G749" s="3" t="str">
        <f>CLEAN("DESIGN - FULL PS&amp;E RESURFACE")</f>
        <v>DESIGN - FULL PS&amp;E RESURFACE</v>
      </c>
      <c r="H749" s="2" t="str">
        <f>CLEAN("STH 029")</f>
        <v>STH 029</v>
      </c>
      <c r="I749" s="2" t="str">
        <f t="shared" si="137"/>
        <v>303</v>
      </c>
    </row>
    <row r="750" spans="1:9" x14ac:dyDescent="0.35">
      <c r="A750" s="2" t="str">
        <f t="shared" si="138"/>
        <v>DUNN</v>
      </c>
      <c r="B750" s="2" t="str">
        <f t="shared" si="139"/>
        <v>CITY OF MENOMONIE</v>
      </c>
      <c r="C750" s="2" t="s">
        <v>1669</v>
      </c>
      <c r="D750" s="2" t="str">
        <f>CLEAN("7610-00-09")</f>
        <v>7610-00-09</v>
      </c>
      <c r="E750" s="3" t="str">
        <f>CLEAN("SPRING VALLEY - MENOMONIE")</f>
        <v>SPRING VALLEY - MENOMONIE</v>
      </c>
      <c r="F750" s="3" t="str">
        <f>CLEAN("RIVER ROAD TO STH 25 SOUTH")</f>
        <v>RIVER ROAD TO STH 25 SOUTH</v>
      </c>
      <c r="G750" s="3" t="str">
        <f>CLEAN("DESIGN - FULL PS&amp;E/RESURFACE")</f>
        <v>DESIGN - FULL PS&amp;E/RESURFACE</v>
      </c>
      <c r="H750" s="2" t="str">
        <f>CLEAN("STH 029")</f>
        <v>STH 029</v>
      </c>
      <c r="I750" s="2" t="str">
        <f t="shared" si="137"/>
        <v>303</v>
      </c>
    </row>
    <row r="751" spans="1:9" x14ac:dyDescent="0.35">
      <c r="A751" s="2" t="str">
        <f t="shared" si="138"/>
        <v>DUNN</v>
      </c>
      <c r="B751" s="2" t="str">
        <f t="shared" si="139"/>
        <v>CITY OF MENOMONIE</v>
      </c>
      <c r="C751" s="2" t="s">
        <v>1687</v>
      </c>
      <c r="D751" s="2" t="str">
        <f>CLEAN("7996-00-88")</f>
        <v>7996-00-88</v>
      </c>
      <c r="E751" s="3" t="str">
        <f>CLEAN("C MENOMONIE  21ST AVE &amp; 5TH ST E")</f>
        <v>C MENOMONIE  21ST AVE &amp; 5TH ST E</v>
      </c>
      <c r="F751" s="3" t="str">
        <f>CLEAN("21ST AVE &amp; 5TH ST E")</f>
        <v>21ST AVE &amp; 5TH ST E</v>
      </c>
      <c r="G751" s="3" t="str">
        <f>CLEAN("DESIGN FULL PS&amp;E RESURFACE")</f>
        <v>DESIGN FULL PS&amp;E RESURFACE</v>
      </c>
      <c r="H751" s="2" t="str">
        <f>CLEAN("LOC STR")</f>
        <v>LOC STR</v>
      </c>
      <c r="I751" s="2" t="str">
        <f>CLEAN("206")</f>
        <v>206</v>
      </c>
    </row>
    <row r="752" spans="1:9" x14ac:dyDescent="0.35">
      <c r="A752" s="2" t="str">
        <f t="shared" si="138"/>
        <v>DUNN</v>
      </c>
      <c r="B752" s="2" t="str">
        <f t="shared" si="139"/>
        <v>CITY OF MENOMONIE</v>
      </c>
      <c r="C752" s="2" t="s">
        <v>1336</v>
      </c>
      <c r="D752" s="2" t="str">
        <f>CLEAN("7996-00-89")</f>
        <v>7996-00-89</v>
      </c>
      <c r="E752" s="3" t="str">
        <f>CLEAN("C MENOMONIE  21ST AVE &amp; 5TH ST E")</f>
        <v>C MENOMONIE  21ST AVE &amp; 5TH ST E</v>
      </c>
      <c r="F752" s="3" t="str">
        <f>CLEAN("21ST AVE &amp; 5TH ST E")</f>
        <v>21ST AVE &amp; 5TH ST E</v>
      </c>
      <c r="G752" s="3" t="str">
        <f>CLEAN("CONSTRUCTION/RESURFACE")</f>
        <v>CONSTRUCTION/RESURFACE</v>
      </c>
      <c r="H752" s="2" t="str">
        <f>CLEAN("LOC STR")</f>
        <v>LOC STR</v>
      </c>
      <c r="I752" s="2" t="str">
        <f>CLEAN("206")</f>
        <v>206</v>
      </c>
    </row>
    <row r="753" spans="1:9" x14ac:dyDescent="0.35">
      <c r="A753" s="2" t="str">
        <f t="shared" si="138"/>
        <v>DUNN</v>
      </c>
      <c r="B753" s="2" t="str">
        <f t="shared" si="139"/>
        <v>CITY OF MENOMONIE</v>
      </c>
      <c r="C753" s="2" t="s">
        <v>2277</v>
      </c>
      <c r="D753" s="2" t="str">
        <f>CLEAN("8949-00-06")</f>
        <v>8949-00-06</v>
      </c>
      <c r="E753" s="3" t="str">
        <f>CLEAN("BALDWIN - MENOMONIE")</f>
        <v>BALDWIN - MENOMONIE</v>
      </c>
      <c r="F753" s="3" t="str">
        <f>CLEAN("IH 94 TO STH 25 N")</f>
        <v>IH 94 TO STH 25 N</v>
      </c>
      <c r="G753" s="3" t="str">
        <f>CLEAN("DESIGN/RESURFACING")</f>
        <v>DESIGN/RESURFACING</v>
      </c>
      <c r="H753" s="2" t="str">
        <f>CLEAN("USH 012")</f>
        <v>USH 012</v>
      </c>
      <c r="I753" s="2" t="str">
        <f>CLEAN("303")</f>
        <v>303</v>
      </c>
    </row>
    <row r="754" spans="1:9" x14ac:dyDescent="0.35">
      <c r="A754" s="2" t="str">
        <f t="shared" si="138"/>
        <v>DUNN</v>
      </c>
      <c r="B754" s="2" t="str">
        <f t="shared" si="139"/>
        <v>CITY OF MENOMONIE</v>
      </c>
      <c r="C754" s="2" t="s">
        <v>1364</v>
      </c>
      <c r="D754" s="2" t="str">
        <f>CLEAN("8949-00-76")</f>
        <v>8949-00-76</v>
      </c>
      <c r="E754" s="3" t="str">
        <f>CLEAN("BALDWIN - MENOMONIE")</f>
        <v>BALDWIN - MENOMONIE</v>
      </c>
      <c r="F754" s="3" t="str">
        <f>CLEAN("IH 94 TO STH 25 N")</f>
        <v>IH 94 TO STH 25 N</v>
      </c>
      <c r="G754" s="3" t="str">
        <f>CLEAN("CONSTRUCTION/RESURFACING")</f>
        <v>CONSTRUCTION/RESURFACING</v>
      </c>
      <c r="H754" s="2" t="str">
        <f>CLEAN("USH 012")</f>
        <v>USH 012</v>
      </c>
      <c r="I754" s="2" t="str">
        <f>CLEAN("303")</f>
        <v>303</v>
      </c>
    </row>
    <row r="755" spans="1:9" x14ac:dyDescent="0.35">
      <c r="A755" s="2" t="str">
        <f>CLEAN("OZAUKEE")</f>
        <v>OZAUKEE</v>
      </c>
      <c r="B755" s="2" t="str">
        <f t="shared" ref="B755:B762" si="140">CLEAN("CITY OF MEQUON")</f>
        <v>CITY OF MEQUON</v>
      </c>
      <c r="C755" s="2" t="s">
        <v>2656</v>
      </c>
      <c r="D755" s="2" t="str">
        <f>CLEAN("1229-04-05")</f>
        <v>1229-04-05</v>
      </c>
      <c r="E755" s="3" t="str">
        <f>CLEAN("NORTH SOUTH FREEWAY")</f>
        <v>NORTH SOUTH FREEWAY</v>
      </c>
      <c r="F755" s="3" t="str">
        <f>CLEAN("HIGHLAND ROAD INTERCHANGE")</f>
        <v>HIGHLAND ROAD INTERCHANGE</v>
      </c>
      <c r="G755" s="3" t="str">
        <f>CLEAN("PE/CORRIDOR STUDY")</f>
        <v>PE/CORRIDOR STUDY</v>
      </c>
      <c r="H755" s="2" t="str">
        <f>CLEAN("IH  043")</f>
        <v>IH  043</v>
      </c>
      <c r="I755" s="2" t="str">
        <f>CLEAN("302")</f>
        <v>302</v>
      </c>
    </row>
    <row r="756" spans="1:9" x14ac:dyDescent="0.35">
      <c r="A756" s="2" t="str">
        <f>CLEAN("OZAUKEE")</f>
        <v>OZAUKEE</v>
      </c>
      <c r="B756" s="2" t="str">
        <f t="shared" si="140"/>
        <v>CITY OF MEQUON</v>
      </c>
      <c r="C756" s="2" t="s">
        <v>807</v>
      </c>
      <c r="D756" s="2" t="str">
        <f>CLEAN("1229-04-74")</f>
        <v>1229-04-74</v>
      </c>
      <c r="E756" s="3" t="str">
        <f>CLEAN("I-43 NORTH SOUTH FREEWAY")</f>
        <v>I-43 NORTH SOUTH FREEWAY</v>
      </c>
      <c r="F756" s="3" t="str">
        <f>CLEAN("W COUNTY LINE RD INTERCHANGE")</f>
        <v>W COUNTY LINE RD INTERCHANGE</v>
      </c>
      <c r="G756" s="3" t="str">
        <f>CLEAN("CONST/RECONSTRUCT W/EXPANSION")</f>
        <v>CONST/RECONSTRUCT W/EXPANSION</v>
      </c>
      <c r="H756" s="2" t="str">
        <f>CLEAN("IH  043")</f>
        <v>IH  043</v>
      </c>
      <c r="I756" s="2" t="str">
        <f>CLEAN("302")</f>
        <v>302</v>
      </c>
    </row>
    <row r="757" spans="1:9" x14ac:dyDescent="0.35">
      <c r="A757" s="2" t="str">
        <f>CLEAN("OZAUKEE")</f>
        <v>OZAUKEE</v>
      </c>
      <c r="B757" s="2" t="str">
        <f t="shared" si="140"/>
        <v>CITY OF MEQUON</v>
      </c>
      <c r="C757" s="2" t="s">
        <v>819</v>
      </c>
      <c r="D757" s="2" t="str">
        <f>CLEAN("1229-04-75")</f>
        <v>1229-04-75</v>
      </c>
      <c r="E757" s="3" t="str">
        <f>CLEAN("I-43 NORTH SOUTH FREEWAY")</f>
        <v>I-43 NORTH SOUTH FREEWAY</v>
      </c>
      <c r="F757" s="3" t="str">
        <f>CLEAN("MEQUON RD INTERCHANGE")</f>
        <v>MEQUON RD INTERCHANGE</v>
      </c>
      <c r="G757" s="3" t="str">
        <f>CLEAN("CONST/RECONSTRUCTION W/ EXPANSION")</f>
        <v>CONST/RECONSTRUCTION W/ EXPANSION</v>
      </c>
      <c r="H757" s="2" t="str">
        <f>CLEAN("IH  043")</f>
        <v>IH  043</v>
      </c>
      <c r="I757" s="2" t="str">
        <f>CLEAN("302")</f>
        <v>302</v>
      </c>
    </row>
    <row r="758" spans="1:9" x14ac:dyDescent="0.35">
      <c r="A758" s="2" t="str">
        <f>CLEAN("OZAUKEE")</f>
        <v>OZAUKEE</v>
      </c>
      <c r="B758" s="2" t="str">
        <f t="shared" si="140"/>
        <v>CITY OF MEQUON</v>
      </c>
      <c r="C758" s="2" t="s">
        <v>820</v>
      </c>
      <c r="D758" s="2" t="str">
        <f>CLEAN("1229-04-76")</f>
        <v>1229-04-76</v>
      </c>
      <c r="E758" s="3" t="str">
        <f>CLEAN("I-43 NORTH SOUTH FREEWAY")</f>
        <v>I-43 NORTH SOUTH FREEWAY</v>
      </c>
      <c r="F758" s="3" t="str">
        <f>CLEAN("HIGHLAND ROAD TO STH 60")</f>
        <v>HIGHLAND ROAD TO STH 60</v>
      </c>
      <c r="G758" s="3" t="str">
        <f>CLEAN("CONST/RECONSTRUCTION W/EXPANSION")</f>
        <v>CONST/RECONSTRUCTION W/EXPANSION</v>
      </c>
      <c r="H758" s="2" t="str">
        <f>CLEAN("IH  043")</f>
        <v>IH  043</v>
      </c>
      <c r="I758" s="2" t="str">
        <f>CLEAN("302")</f>
        <v>302</v>
      </c>
    </row>
    <row r="759" spans="1:9" x14ac:dyDescent="0.35">
      <c r="A759" s="2" t="str">
        <f>CLEAN("OZAUKEE")</f>
        <v>OZAUKEE</v>
      </c>
      <c r="B759" s="2" t="str">
        <f t="shared" si="140"/>
        <v>CITY OF MEQUON</v>
      </c>
      <c r="C759" s="2" t="s">
        <v>998</v>
      </c>
      <c r="D759" s="2" t="str">
        <f>CLEAN("1380-02-70")</f>
        <v>1380-02-70</v>
      </c>
      <c r="E759" s="3" t="str">
        <f>CLEAN("MEQUON ROAD  CITY OF MEQUON")</f>
        <v>MEQUON ROAD  CITY OF MEQUON</v>
      </c>
      <c r="F759" s="3" t="str">
        <f>CLEAN("WASHINGTON CO LINE TO BUNTROCK AVE")</f>
        <v>WASHINGTON CO LINE TO BUNTROCK AVE</v>
      </c>
      <c r="G759" s="3" t="str">
        <f>CLEAN("CONST/RESURFACE")</f>
        <v>CONST/RESURFACE</v>
      </c>
      <c r="H759" s="2" t="str">
        <f>CLEAN("STH 167")</f>
        <v>STH 167</v>
      </c>
      <c r="I759" s="2" t="str">
        <f>CLEAN("303")</f>
        <v>303</v>
      </c>
    </row>
    <row r="760" spans="1:9" x14ac:dyDescent="0.35">
      <c r="A760" s="2" t="str">
        <f>CLEAN("MILWAUKEE")</f>
        <v>MILWAUKEE</v>
      </c>
      <c r="B760" s="2" t="str">
        <f t="shared" si="140"/>
        <v>CITY OF MEQUON</v>
      </c>
      <c r="C760" s="2" t="s">
        <v>745</v>
      </c>
      <c r="D760" s="2" t="str">
        <f>CLEAN("2270-04-70")</f>
        <v>2270-04-70</v>
      </c>
      <c r="E760" s="3" t="str">
        <f>CLEAN("STH 57-VIL BROWN DEER &amp; CITY MEQUON")</f>
        <v>STH 57-VIL BROWN DEER &amp; CITY MEQUON</v>
      </c>
      <c r="F760" s="3" t="str">
        <f>CLEAN("TEUTONIA AVENUE TO MEQUON ROAD")</f>
        <v>TEUTONIA AVENUE TO MEQUON ROAD</v>
      </c>
      <c r="G760" s="3" t="str">
        <f>CLEAN("CONST/RECONDITION")</f>
        <v>CONST/RECONDITION</v>
      </c>
      <c r="H760" s="2" t="str">
        <f>CLEAN("STH 057")</f>
        <v>STH 057</v>
      </c>
      <c r="I760" s="2" t="str">
        <f>CLEAN("303")</f>
        <v>303</v>
      </c>
    </row>
    <row r="761" spans="1:9" x14ac:dyDescent="0.35">
      <c r="A761" s="2" t="str">
        <f>CLEAN("OZAUKEE")</f>
        <v>OZAUKEE</v>
      </c>
      <c r="B761" s="2" t="str">
        <f t="shared" si="140"/>
        <v>CITY OF MEQUON</v>
      </c>
      <c r="C761" s="2" t="s">
        <v>2679</v>
      </c>
      <c r="D761" s="2" t="str">
        <f>CLEAN("2697-00-07")</f>
        <v>2697-00-07</v>
      </c>
      <c r="E761" s="3" t="str">
        <f>CLEAN("C MEQUON  W MEQUON ROAD")</f>
        <v>C MEQUON  W MEQUON ROAD</v>
      </c>
      <c r="F761" s="3" t="str">
        <f>CLEAN("BUNTROCK AVE TO STH 57")</f>
        <v>BUNTROCK AVE TO STH 57</v>
      </c>
      <c r="G761" s="3" t="str">
        <f>CLEAN("PE/FULL PS RSRF 25")</f>
        <v>PE/FULL PS RSRF 25</v>
      </c>
      <c r="H761" s="2" t="str">
        <f>CLEAN("STH 167")</f>
        <v>STH 167</v>
      </c>
      <c r="I761" s="2" t="str">
        <f>CLEAN("303")</f>
        <v>303</v>
      </c>
    </row>
    <row r="762" spans="1:9" x14ac:dyDescent="0.35">
      <c r="A762" s="2" t="str">
        <f>CLEAN("OZAUKEE")</f>
        <v>OZAUKEE</v>
      </c>
      <c r="B762" s="2" t="str">
        <f t="shared" si="140"/>
        <v>CITY OF MEQUON</v>
      </c>
      <c r="C762" s="2" t="s">
        <v>3011</v>
      </c>
      <c r="D762" s="2" t="str">
        <f>CLEAN("2697-23-00")</f>
        <v>2697-23-00</v>
      </c>
      <c r="E762" s="3" t="str">
        <f>CLEAN("M-T BIKE &amp; PED PLANNING STUDY")</f>
        <v>M-T BIKE &amp; PED PLANNING STUDY</v>
      </c>
      <c r="F762" s="3" t="str">
        <f>CLEAN("CITY MEQUON &amp; OZAUKEE INTERURBAN TR")</f>
        <v>CITY MEQUON &amp; OZAUKEE INTERURBAN TR</v>
      </c>
      <c r="G762" s="3" t="str">
        <f>CLEAN("PE/STUDY")</f>
        <v>PE/STUDY</v>
      </c>
      <c r="H762" s="2" t="str">
        <f>CLEAN("NON HWY")</f>
        <v>NON HWY</v>
      </c>
      <c r="I762" s="2" t="str">
        <f>CLEAN("290")</f>
        <v>290</v>
      </c>
    </row>
    <row r="763" spans="1:9" x14ac:dyDescent="0.35">
      <c r="A763" s="2" t="str">
        <f>CLEAN("LINCOLN")</f>
        <v>LINCOLN</v>
      </c>
      <c r="B763" s="2" t="str">
        <f>CLEAN("CITY OF MERRILL")</f>
        <v>CITY OF MERRILL</v>
      </c>
      <c r="C763" s="2" t="s">
        <v>2021</v>
      </c>
      <c r="D763" s="2" t="str">
        <f>CLEAN("9000-10-05")</f>
        <v>9000-10-05</v>
      </c>
      <c r="E763" s="3" t="str">
        <f>CLEAN("C MERRILL  MAIN STREET")</f>
        <v>C MERRILL  MAIN STREET</v>
      </c>
      <c r="F763" s="3" t="str">
        <f>CLEAN("STH 107 NORTH TO MEMORIAL DRIVE")</f>
        <v>STH 107 NORTH TO MEMORIAL DRIVE</v>
      </c>
      <c r="G763" s="3" t="str">
        <f>CLEAN("DESIGN/FULL PSE/RESURFACE")</f>
        <v>DESIGN/FULL PSE/RESURFACE</v>
      </c>
      <c r="H763" s="2" t="str">
        <f>CLEAN("STH 064")</f>
        <v>STH 064</v>
      </c>
      <c r="I763" s="2" t="str">
        <f>CLEAN("303")</f>
        <v>303</v>
      </c>
    </row>
    <row r="764" spans="1:9" x14ac:dyDescent="0.35">
      <c r="A764" s="2" t="str">
        <f>CLEAN("LINCOLN")</f>
        <v>LINCOLN</v>
      </c>
      <c r="B764" s="2" t="str">
        <f>CLEAN("CITY OF MERRILL")</f>
        <v>CITY OF MERRILL</v>
      </c>
      <c r="C764" s="2" t="s">
        <v>2017</v>
      </c>
      <c r="D764" s="2" t="str">
        <f>CLEAN("9000-12-01")</f>
        <v>9000-12-01</v>
      </c>
      <c r="E764" s="3" t="str">
        <f>CLEAN("MEDFORD - MERRILL")</f>
        <v>MEDFORD - MERRILL</v>
      </c>
      <c r="F764" s="3" t="str">
        <f>CLEAN("GLEN DRIVE TO STH 107 NORTH")</f>
        <v>GLEN DRIVE TO STH 107 NORTH</v>
      </c>
      <c r="G764" s="3" t="str">
        <f>CLEAN("DESIGN/FULL PSE/RESURFACE")</f>
        <v>DESIGN/FULL PSE/RESURFACE</v>
      </c>
      <c r="H764" s="2" t="str">
        <f>CLEAN("STH 064")</f>
        <v>STH 064</v>
      </c>
      <c r="I764" s="2" t="str">
        <f>CLEAN("303")</f>
        <v>303</v>
      </c>
    </row>
    <row r="765" spans="1:9" x14ac:dyDescent="0.35">
      <c r="A765" s="2" t="str">
        <f>CLEAN("LINCOLN")</f>
        <v>LINCOLN</v>
      </c>
      <c r="B765" s="2" t="str">
        <f>CLEAN("CITY OF MERRILL")</f>
        <v>CITY OF MERRILL</v>
      </c>
      <c r="C765" s="2" t="s">
        <v>2023</v>
      </c>
      <c r="D765" s="2" t="str">
        <f>CLEAN("9305-00-01")</f>
        <v>9305-00-01</v>
      </c>
      <c r="E765" s="3" t="str">
        <f>CLEAN("C MERRILL  GRAND AVENUE")</f>
        <v>C MERRILL  GRAND AVENUE</v>
      </c>
      <c r="F765" s="3" t="str">
        <f>CLEAN("STH 64 TO WEST TAYLOR STREET")</f>
        <v>STH 64 TO WEST TAYLOR STREET</v>
      </c>
      <c r="G765" s="3" t="str">
        <f>CLEAN("DESIGN/FULL PSE/RESURFACE")</f>
        <v>DESIGN/FULL PSE/RESURFACE</v>
      </c>
      <c r="H765" s="2" t="str">
        <f>CLEAN("STH 107")</f>
        <v>STH 107</v>
      </c>
      <c r="I765" s="2" t="str">
        <f>CLEAN("303")</f>
        <v>303</v>
      </c>
    </row>
    <row r="766" spans="1:9" x14ac:dyDescent="0.35">
      <c r="A766" s="2" t="str">
        <f t="shared" ref="A766:A774" si="141">CLEAN("DANE")</f>
        <v>DANE</v>
      </c>
      <c r="B766" s="2" t="str">
        <f t="shared" ref="B766:B774" si="142">CLEAN("CITY OF MIDDLETON")</f>
        <v>CITY OF MIDDLETON</v>
      </c>
      <c r="C766" s="2" t="s">
        <v>265</v>
      </c>
      <c r="D766" s="2" t="str">
        <f>CLEAN("5992-11-01")</f>
        <v>5992-11-01</v>
      </c>
      <c r="E766" s="3" t="str">
        <f>CLEAN("C MIDDLETON  PLEASANT VIEW ROAD")</f>
        <v>C MIDDLETON  PLEASANT VIEW ROAD</v>
      </c>
      <c r="F766" s="3" t="str">
        <f>CLEAN("TIMBER WOLF TRAIL TO USH 14")</f>
        <v>TIMBER WOLF TRAIL TO USH 14</v>
      </c>
      <c r="G766" s="3" t="str">
        <f>CLEAN("CONST OPS/RECONSTRUCTION")</f>
        <v>CONST OPS/RECONSTRUCTION</v>
      </c>
      <c r="H766" s="2" t="str">
        <f>CLEAN("LOC STR")</f>
        <v>LOC STR</v>
      </c>
      <c r="I766" s="2" t="str">
        <f>CLEAN("206")</f>
        <v>206</v>
      </c>
    </row>
    <row r="767" spans="1:9" x14ac:dyDescent="0.35">
      <c r="A767" s="2" t="str">
        <f t="shared" si="141"/>
        <v>DANE</v>
      </c>
      <c r="B767" s="2" t="str">
        <f t="shared" si="142"/>
        <v>CITY OF MIDDLETON</v>
      </c>
      <c r="C767" s="2" t="s">
        <v>324</v>
      </c>
      <c r="D767" s="2" t="str">
        <f>CLEAN("5992-11-02")</f>
        <v>5992-11-02</v>
      </c>
      <c r="E767" s="3" t="str">
        <f>CLEAN("C OF MIDDLETON  PLEASANT VIEW ROAD")</f>
        <v>C OF MIDDLETON  PLEASANT VIEW ROAD</v>
      </c>
      <c r="F767" s="3" t="str">
        <f>CLEAN("TIMBER WOLF TRAIL TO USH 14")</f>
        <v>TIMBER WOLF TRAIL TO USH 14</v>
      </c>
      <c r="G767" s="3" t="str">
        <f>CLEAN("CONST OPS/WATER MAIN &amp; SEWER")</f>
        <v>CONST OPS/WATER MAIN &amp; SEWER</v>
      </c>
      <c r="H767" s="2" t="str">
        <f>CLEAN("LOC STR")</f>
        <v>LOC STR</v>
      </c>
      <c r="I767" s="2" t="str">
        <f>CLEAN("206")</f>
        <v>206</v>
      </c>
    </row>
    <row r="768" spans="1:9" x14ac:dyDescent="0.35">
      <c r="A768" s="2" t="str">
        <f t="shared" si="141"/>
        <v>DANE</v>
      </c>
      <c r="B768" s="2" t="str">
        <f t="shared" si="142"/>
        <v>CITY OF MIDDLETON</v>
      </c>
      <c r="C768" s="2" t="s">
        <v>527</v>
      </c>
      <c r="D768" s="2" t="str">
        <f>CLEAN("5993-02-08")</f>
        <v>5993-02-08</v>
      </c>
      <c r="E768" s="3" t="str">
        <f>CLEAN("C MIDDLETON  LED STREET LIGHTS")</f>
        <v>C MIDDLETON  LED STREET LIGHTS</v>
      </c>
      <c r="F768" s="3" t="str">
        <f>CLEAN("VARIOUS LOCATIONS - C MIDDLETON")</f>
        <v>VARIOUS LOCATIONS - C MIDDLETON</v>
      </c>
      <c r="G768" s="3" t="str">
        <f>CLEAN("CONST/CARBON RED-LED LIGHTING")</f>
        <v>CONST/CARBON RED-LED LIGHTING</v>
      </c>
      <c r="H768" s="2" t="str">
        <f>CLEAN("VAR HWY")</f>
        <v>VAR HWY</v>
      </c>
      <c r="I768" s="2" t="str">
        <f>CLEAN("206")</f>
        <v>206</v>
      </c>
    </row>
    <row r="769" spans="1:9" x14ac:dyDescent="0.35">
      <c r="A769" s="2" t="str">
        <f t="shared" si="141"/>
        <v>DANE</v>
      </c>
      <c r="B769" s="2" t="str">
        <f t="shared" si="142"/>
        <v>CITY OF MIDDLETON</v>
      </c>
      <c r="C769" s="2" t="s">
        <v>593</v>
      </c>
      <c r="D769" s="2" t="str">
        <f>CLEAN("5310-02-75")</f>
        <v>5310-02-75</v>
      </c>
      <c r="E769" s="3" t="str">
        <f>CLEAN("SPRING GREEN - MADISON")</f>
        <v>SPRING GREEN - MADISON</v>
      </c>
      <c r="F769" s="3" t="str">
        <f>CLEAN("PLEASANT VIEW ROAD INTERSECTION")</f>
        <v>PLEASANT VIEW ROAD INTERSECTION</v>
      </c>
      <c r="G769" s="3" t="str">
        <f>CLEAN("CONST/LEFT TURN LNS/MONOTUBES/RCND")</f>
        <v>CONST/LEFT TURN LNS/MONOTUBES/RCND</v>
      </c>
      <c r="H769" s="2" t="str">
        <f>CLEAN("USH 014")</f>
        <v>USH 014</v>
      </c>
      <c r="I769" s="2" t="str">
        <f>CLEAN("303")</f>
        <v>303</v>
      </c>
    </row>
    <row r="770" spans="1:9" x14ac:dyDescent="0.35">
      <c r="A770" s="2" t="str">
        <f t="shared" si="141"/>
        <v>DANE</v>
      </c>
      <c r="B770" s="2" t="str">
        <f t="shared" si="142"/>
        <v>CITY OF MIDDLETON</v>
      </c>
      <c r="C770" s="2" t="s">
        <v>3107</v>
      </c>
      <c r="D770" s="2" t="str">
        <f>CLEAN("5992-11-50")</f>
        <v>5992-11-50</v>
      </c>
      <c r="E770" s="3" t="str">
        <f>CLEAN("C OF MIDDLETON  PLEASANT VIEW ROAD")</f>
        <v>C OF MIDDLETON  PLEASANT VIEW ROAD</v>
      </c>
      <c r="F770" s="3" t="str">
        <f>CLEAN("TIMBER WOLF TRAIL TO USH 14")</f>
        <v>TIMBER WOLF TRAIL TO USH 14</v>
      </c>
      <c r="G770" s="3" t="str">
        <f>CLEAN("R/R OPS/ CROSSING SURFACE")</f>
        <v>R/R OPS/ CROSSING SURFACE</v>
      </c>
      <c r="H770" s="2" t="str">
        <f>CLEAN("LOC STR")</f>
        <v>LOC STR</v>
      </c>
      <c r="I770" s="2" t="str">
        <f>CLEAN("206")</f>
        <v>206</v>
      </c>
    </row>
    <row r="771" spans="1:9" x14ac:dyDescent="0.35">
      <c r="A771" s="2" t="str">
        <f t="shared" si="141"/>
        <v>DANE</v>
      </c>
      <c r="B771" s="2" t="str">
        <f t="shared" si="142"/>
        <v>CITY OF MIDDLETON</v>
      </c>
      <c r="C771" s="2" t="s">
        <v>3109</v>
      </c>
      <c r="D771" s="2" t="str">
        <f>CLEAN("5992-11-51")</f>
        <v>5992-11-51</v>
      </c>
      <c r="E771" s="3" t="str">
        <f>CLEAN("C OF MIDDLETON  PLEASANT VIEW ROAD")</f>
        <v>C OF MIDDLETON  PLEASANT VIEW ROAD</v>
      </c>
      <c r="F771" s="3" t="str">
        <f>CLEAN("TIMBER WOLF TRAIL TO USH 14")</f>
        <v>TIMBER WOLF TRAIL TO USH 14</v>
      </c>
      <c r="G771" s="3" t="str">
        <f>CLEAN("R/R OPS/ SWITCH REPLACEMENT")</f>
        <v>R/R OPS/ SWITCH REPLACEMENT</v>
      </c>
      <c r="H771" s="2" t="str">
        <f>CLEAN("LOC STR")</f>
        <v>LOC STR</v>
      </c>
      <c r="I771" s="2" t="str">
        <f>CLEAN("206")</f>
        <v>206</v>
      </c>
    </row>
    <row r="772" spans="1:9" x14ac:dyDescent="0.35">
      <c r="A772" s="2" t="str">
        <f t="shared" si="141"/>
        <v>DANE</v>
      </c>
      <c r="B772" s="2" t="str">
        <f t="shared" si="142"/>
        <v>CITY OF MIDDLETON</v>
      </c>
      <c r="C772" s="2" t="s">
        <v>3103</v>
      </c>
      <c r="D772" s="2" t="str">
        <f>CLEAN("5992-11-52")</f>
        <v>5992-11-52</v>
      </c>
      <c r="E772" s="3" t="str">
        <f>CLEAN("C OF MIDDLETON  PLEASANT VIEW ROAD")</f>
        <v>C OF MIDDLETON  PLEASANT VIEW ROAD</v>
      </c>
      <c r="F772" s="3" t="str">
        <f>CLEAN("TIMBER WOLF TRAIL TO USH 14")</f>
        <v>TIMBER WOLF TRAIL TO USH 14</v>
      </c>
      <c r="G772" s="3" t="str">
        <f>CLEAN("R/R OPS/ CROSSING SIGNALS")</f>
        <v>R/R OPS/ CROSSING SIGNALS</v>
      </c>
      <c r="H772" s="2" t="str">
        <f>CLEAN("LOC STR")</f>
        <v>LOC STR</v>
      </c>
      <c r="I772" s="2" t="str">
        <f>CLEAN("206")</f>
        <v>206</v>
      </c>
    </row>
    <row r="773" spans="1:9" x14ac:dyDescent="0.35">
      <c r="A773" s="2" t="str">
        <f t="shared" si="141"/>
        <v>DANE</v>
      </c>
      <c r="B773" s="2" t="str">
        <f t="shared" si="142"/>
        <v>CITY OF MIDDLETON</v>
      </c>
      <c r="C773" s="2" t="s">
        <v>2117</v>
      </c>
      <c r="D773" s="2" t="str">
        <f>CLEAN("5993-00-15")</f>
        <v>5993-00-15</v>
      </c>
      <c r="E773" s="3" t="str">
        <f>CLEAN("C MIDDLETON  LED STREETLIGHTS")</f>
        <v>C MIDDLETON  LED STREETLIGHTS</v>
      </c>
      <c r="F773" s="3" t="str">
        <f>CLEAN("C MIDDLETON VARIOUS LOCATIONS")</f>
        <v>C MIDDLETON VARIOUS LOCATIONS</v>
      </c>
      <c r="G773" s="3" t="str">
        <f>CLEAN("DESIGN/PLAN CHECK REVIEW/LIGHTING")</f>
        <v>DESIGN/PLAN CHECK REVIEW/LIGHTING</v>
      </c>
      <c r="H773" s="2" t="str">
        <f>CLEAN("VAR HWY")</f>
        <v>VAR HWY</v>
      </c>
      <c r="I773" s="2" t="str">
        <f>CLEAN("206")</f>
        <v>206</v>
      </c>
    </row>
    <row r="774" spans="1:9" x14ac:dyDescent="0.35">
      <c r="A774" s="2" t="str">
        <f t="shared" si="141"/>
        <v>DANE</v>
      </c>
      <c r="B774" s="2" t="str">
        <f t="shared" si="142"/>
        <v>CITY OF MIDDLETON</v>
      </c>
      <c r="C774" s="2" t="s">
        <v>596</v>
      </c>
      <c r="D774" s="2" t="str">
        <f>CLEAN("5993-00-16")</f>
        <v>5993-00-16</v>
      </c>
      <c r="E774" s="3" t="str">
        <f>CLEAN("C MIDDLETON  LED STREETLIGHTS")</f>
        <v>C MIDDLETON  LED STREETLIGHTS</v>
      </c>
      <c r="F774" s="3" t="str">
        <f>CLEAN("C MIDDLETON  VARIOUS LOCATIONS")</f>
        <v>C MIDDLETON  VARIOUS LOCATIONS</v>
      </c>
      <c r="G774" s="3" t="str">
        <f>CLEAN("CONST/LIGHTING")</f>
        <v>CONST/LIGHTING</v>
      </c>
      <c r="H774" s="2" t="str">
        <f>CLEAN("VAR HWY")</f>
        <v>VAR HWY</v>
      </c>
      <c r="I774" s="2" t="str">
        <f>CLEAN("206")</f>
        <v>206</v>
      </c>
    </row>
    <row r="775" spans="1:9" x14ac:dyDescent="0.35">
      <c r="A775" s="2" t="str">
        <f>CLEAN("ROCK")</f>
        <v>ROCK</v>
      </c>
      <c r="B775" s="2" t="str">
        <f>CLEAN("CITY OF MILTON")</f>
        <v>CITY OF MILTON</v>
      </c>
      <c r="C775" s="2" t="s">
        <v>3179</v>
      </c>
      <c r="D775" s="2" t="str">
        <f>CLEAN("3140-00-06")</f>
        <v>3140-00-06</v>
      </c>
      <c r="E775" s="3" t="str">
        <f>CLEAN("C MILTON  VICKERMAN RD")</f>
        <v>C MILTON  VICKERMAN RD</v>
      </c>
      <c r="F775" s="3" t="str">
        <f>CLEAN("M-H TOWNLINE RD TO STH 59")</f>
        <v>M-H TOWNLINE RD TO STH 59</v>
      </c>
      <c r="G775" s="3" t="str">
        <f>CLEAN("ROADWAY IMPROVEMENTS/LLC/TEA")</f>
        <v>ROADWAY IMPROVEMENTS/LLC/TEA</v>
      </c>
      <c r="H775" s="2" t="str">
        <f>CLEAN("LOC STR")</f>
        <v>LOC STR</v>
      </c>
      <c r="I775" s="2" t="str">
        <f>CLEAN("209")</f>
        <v>209</v>
      </c>
    </row>
    <row r="776" spans="1:9" x14ac:dyDescent="0.35">
      <c r="A776" s="2" t="str">
        <f>CLEAN("ROCK")</f>
        <v>ROCK</v>
      </c>
      <c r="B776" s="2" t="str">
        <f>CLEAN("CITY OF MILTON")</f>
        <v>CITY OF MILTON</v>
      </c>
      <c r="C776" s="2" t="s">
        <v>1535</v>
      </c>
      <c r="D776" s="2" t="str">
        <f>CLEAN("3140-00-16")</f>
        <v>3140-00-16</v>
      </c>
      <c r="E776" s="3" t="str">
        <f>CLEAN("C MILTON  W MADISON AVENUE")</f>
        <v>C MILTON  W MADISON AVENUE</v>
      </c>
      <c r="F776" s="3" t="str">
        <f>CLEAN("JOHN PAUL ROAD INTERSECTION")</f>
        <v>JOHN PAUL ROAD INTERSECTION</v>
      </c>
      <c r="G776" s="3" t="str">
        <f>CLEAN("DESIGN - FULL PS&amp;E RECST")</f>
        <v>DESIGN - FULL PS&amp;E RECST</v>
      </c>
      <c r="H776" s="2" t="str">
        <f>CLEAN("STH 059")</f>
        <v>STH 059</v>
      </c>
      <c r="I776" s="2" t="str">
        <f>CLEAN("303")</f>
        <v>303</v>
      </c>
    </row>
    <row r="777" spans="1:9" x14ac:dyDescent="0.35">
      <c r="A777" s="2" t="str">
        <f>CLEAN("ROCK")</f>
        <v>ROCK</v>
      </c>
      <c r="B777" s="2" t="str">
        <f>CLEAN("CITY OF MILTON")</f>
        <v>CITY OF MILTON</v>
      </c>
      <c r="C777" s="2" t="s">
        <v>2151</v>
      </c>
      <c r="D777" s="2" t="str">
        <f>CLEAN("3620-00-10")</f>
        <v>3620-00-10</v>
      </c>
      <c r="E777" s="3" t="str">
        <f>CLEAN("CITY OF MILTON  EAST HIGH STREET")</f>
        <v>CITY OF MILTON  EAST HIGH STREET</v>
      </c>
      <c r="F777" s="3" t="str">
        <f>CLEAN("S JOHN PAUL RD TO JANESVILLE STR")</f>
        <v>S JOHN PAUL RD TO JANESVILLE STR</v>
      </c>
      <c r="G777" s="3" t="str">
        <f>CLEAN("DESIGN/PLAN CHECK REVIEW/PVRPLA")</f>
        <v>DESIGN/PLAN CHECK REVIEW/PVRPLA</v>
      </c>
      <c r="H777" s="2" t="str">
        <f>CLEAN("LOC STR")</f>
        <v>LOC STR</v>
      </c>
      <c r="I777" s="2" t="str">
        <f>CLEAN("206")</f>
        <v>206</v>
      </c>
    </row>
    <row r="778" spans="1:9" x14ac:dyDescent="0.35">
      <c r="A778" s="2" t="str">
        <f t="shared" ref="A778:A841" si="143">CLEAN("MILWAUKEE")</f>
        <v>MILWAUKEE</v>
      </c>
      <c r="B778" s="2" t="str">
        <f t="shared" ref="B778:B841" si="144">CLEAN("CITY OF MILWAUKEE")</f>
        <v>CITY OF MILWAUKEE</v>
      </c>
      <c r="C778" s="2" t="s">
        <v>2957</v>
      </c>
      <c r="D778" s="2" t="str">
        <f>CLEAN("2010-05-01")</f>
        <v>2010-05-01</v>
      </c>
      <c r="E778" s="3" t="str">
        <f>CLEAN("C MILWAUKEE  W LISBON AVE")</f>
        <v>C MILWAUKEE  W LISBON AVE</v>
      </c>
      <c r="F778" s="3" t="str">
        <f>CLEAN("N 46TH ST TO APPLETON AVE")</f>
        <v>N 46TH ST TO APPLETON AVE</v>
      </c>
      <c r="G778" s="3" t="str">
        <f>CLEAN("PE/RECST")</f>
        <v>PE/RECST</v>
      </c>
      <c r="H778" s="2" t="str">
        <f>CLEAN("STH 175")</f>
        <v>STH 175</v>
      </c>
      <c r="I778" s="2" t="str">
        <f>CLEAN("303")</f>
        <v>303</v>
      </c>
    </row>
    <row r="779" spans="1:9" x14ac:dyDescent="0.35">
      <c r="A779" s="2" t="str">
        <f t="shared" si="143"/>
        <v>MILWAUKEE</v>
      </c>
      <c r="B779" s="2" t="str">
        <f t="shared" si="144"/>
        <v>CITY OF MILWAUKEE</v>
      </c>
      <c r="C779" s="2" t="s">
        <v>2750</v>
      </c>
      <c r="D779" s="2" t="str">
        <f>CLEAN("2010-05-02")</f>
        <v>2010-05-02</v>
      </c>
      <c r="E779" s="3" t="str">
        <f>CLEAN("C MILWAUKEE  W APPLETON AVE")</f>
        <v>C MILWAUKEE  W APPLETON AVE</v>
      </c>
      <c r="F779" s="3" t="str">
        <f>CLEAN("W LISBON AVE TO W BURLEIGH ST")</f>
        <v>W LISBON AVE TO W BURLEIGH ST</v>
      </c>
      <c r="G779" s="3" t="str">
        <f>CLEAN("PE/FULL PS&amp;E/PAVEMENT REPLACEMENT")</f>
        <v>PE/FULL PS&amp;E/PAVEMENT REPLACEMENT</v>
      </c>
      <c r="H779" s="2" t="str">
        <f>CLEAN("STH 175")</f>
        <v>STH 175</v>
      </c>
      <c r="I779" s="2" t="str">
        <f>CLEAN("303")</f>
        <v>303</v>
      </c>
    </row>
    <row r="780" spans="1:9" x14ac:dyDescent="0.35">
      <c r="A780" s="2" t="str">
        <f t="shared" si="143"/>
        <v>MILWAUKEE</v>
      </c>
      <c r="B780" s="2" t="str">
        <f t="shared" si="144"/>
        <v>CITY OF MILWAUKEE</v>
      </c>
      <c r="C780" s="2" t="s">
        <v>2775</v>
      </c>
      <c r="D780" s="2" t="str">
        <f>CLEAN("2010-05-03")</f>
        <v>2010-05-03</v>
      </c>
      <c r="E780" s="3" t="str">
        <f>CLEAN("C MILWAUKEE  W APPLETON AVE")</f>
        <v>C MILWAUKEE  W APPLETON AVE</v>
      </c>
      <c r="F780" s="3" t="str">
        <f>CLEAN("W BURLEIGH ST TO STH 181")</f>
        <v>W BURLEIGH ST TO STH 181</v>
      </c>
      <c r="G780" s="3" t="str">
        <f>CLEAN("PE/FULL PS&amp;E/RESURFACE")</f>
        <v>PE/FULL PS&amp;E/RESURFACE</v>
      </c>
      <c r="H780" s="2" t="str">
        <f>CLEAN("STH 175")</f>
        <v>STH 175</v>
      </c>
      <c r="I780" s="2" t="str">
        <f>CLEAN("303")</f>
        <v>303</v>
      </c>
    </row>
    <row r="781" spans="1:9" x14ac:dyDescent="0.35">
      <c r="A781" s="2" t="str">
        <f t="shared" si="143"/>
        <v>MILWAUKEE</v>
      </c>
      <c r="B781" s="2" t="str">
        <f t="shared" si="144"/>
        <v>CITY OF MILWAUKEE</v>
      </c>
      <c r="C781" s="2" t="s">
        <v>3021</v>
      </c>
      <c r="D781" s="2" t="str">
        <f>CLEAN("2025-01-02")</f>
        <v>2025-01-02</v>
      </c>
      <c r="E781" s="3" t="str">
        <f>CLEAN("WEST CAPITOL DRIVE (STH 190)")</f>
        <v>WEST CAPITOL DRIVE (STH 190)</v>
      </c>
      <c r="F781" s="3" t="str">
        <f>CLEAN("12 CONNECTING HWY INTERSECTIONS")</f>
        <v>12 CONNECTING HWY INTERSECTIONS</v>
      </c>
      <c r="G781" s="3" t="str">
        <f>CLEAN("PE/TRAFFIC SIGNALS/FLASHERS")</f>
        <v>PE/TRAFFIC SIGNALS/FLASHERS</v>
      </c>
      <c r="H781" s="2" t="str">
        <f>CLEAN("VAR HWY")</f>
        <v>VAR HWY</v>
      </c>
      <c r="I781" s="2" t="str">
        <f>CLEAN("305")</f>
        <v>305</v>
      </c>
    </row>
    <row r="782" spans="1:9" x14ac:dyDescent="0.35">
      <c r="A782" s="2" t="str">
        <f t="shared" si="143"/>
        <v>MILWAUKEE</v>
      </c>
      <c r="B782" s="2" t="str">
        <f t="shared" si="144"/>
        <v>CITY OF MILWAUKEE</v>
      </c>
      <c r="C782" s="2" t="s">
        <v>2696</v>
      </c>
      <c r="D782" s="2" t="str">
        <f>CLEAN("2080-05-01")</f>
        <v>2080-05-01</v>
      </c>
      <c r="E782" s="3" t="str">
        <f>CLEAN("C MILWAUKEE  TEUTONIA AVE")</f>
        <v>C MILWAUKEE  TEUTONIA AVE</v>
      </c>
      <c r="F782" s="3" t="str">
        <f>CLEAN("LINCOLN CREEK BRIDGE P40-0823")</f>
        <v>LINCOLN CREEK BRIDGE P40-0823</v>
      </c>
      <c r="G782" s="3" t="str">
        <f>CLEAN("PE/FULL PS&amp;E ROW/BRRPL")</f>
        <v>PE/FULL PS&amp;E ROW/BRRPL</v>
      </c>
      <c r="H782" s="2" t="str">
        <f t="shared" ref="H782:H787" si="145">CLEAN("LOC STR")</f>
        <v>LOC STR</v>
      </c>
      <c r="I782" s="2" t="str">
        <f>CLEAN("205")</f>
        <v>205</v>
      </c>
    </row>
    <row r="783" spans="1:9" x14ac:dyDescent="0.35">
      <c r="A783" s="2" t="str">
        <f t="shared" si="143"/>
        <v>MILWAUKEE</v>
      </c>
      <c r="B783" s="2" t="str">
        <f t="shared" si="144"/>
        <v>CITY OF MILWAUKEE</v>
      </c>
      <c r="C783" s="2" t="s">
        <v>2884</v>
      </c>
      <c r="D783" s="2" t="str">
        <f>CLEAN("2080-05-02")</f>
        <v>2080-05-02</v>
      </c>
      <c r="E783" s="3" t="str">
        <f>CLEAN("C MILWAUKEE  NORTH TEUTONIA AVE")</f>
        <v>C MILWAUKEE  NORTH TEUTONIA AVE</v>
      </c>
      <c r="F783" s="3" t="str">
        <f>CLEAN("W MILL RD TO W GOOD HOPE RD")</f>
        <v>W MILL RD TO W GOOD HOPE RD</v>
      </c>
      <c r="G783" s="3" t="str">
        <f>CLEAN("PE/FULL PSE/RECST")</f>
        <v>PE/FULL PSE/RECST</v>
      </c>
      <c r="H783" s="2" t="str">
        <f t="shared" si="145"/>
        <v>LOC STR</v>
      </c>
      <c r="I783" s="2" t="str">
        <f>CLEAN("206")</f>
        <v>206</v>
      </c>
    </row>
    <row r="784" spans="1:9" x14ac:dyDescent="0.35">
      <c r="A784" s="2" t="str">
        <f t="shared" si="143"/>
        <v>MILWAUKEE</v>
      </c>
      <c r="B784" s="2" t="str">
        <f t="shared" si="144"/>
        <v>CITY OF MILWAUKEE</v>
      </c>
      <c r="C784" s="2" t="s">
        <v>2881</v>
      </c>
      <c r="D784" s="2" t="str">
        <f>CLEAN("2090-03-02")</f>
        <v>2090-03-02</v>
      </c>
      <c r="E784" s="3" t="str">
        <f>CLEAN("C MILWAUKEE  W SILVER SPRING DR")</f>
        <v>C MILWAUKEE  W SILVER SPRING DR</v>
      </c>
      <c r="F784" s="3" t="str">
        <f>CLEAN("INTERSECTION WITH N 64TH ST")</f>
        <v>INTERSECTION WITH N 64TH ST</v>
      </c>
      <c r="G784" s="3" t="str">
        <f>CLEAN("PE/FULL PSE/RECST")</f>
        <v>PE/FULL PSE/RECST</v>
      </c>
      <c r="H784" s="2" t="str">
        <f t="shared" si="145"/>
        <v>LOC STR</v>
      </c>
      <c r="I784" s="2" t="str">
        <f>CLEAN("206")</f>
        <v>206</v>
      </c>
    </row>
    <row r="785" spans="1:9" x14ac:dyDescent="0.35">
      <c r="A785" s="2" t="str">
        <f t="shared" si="143"/>
        <v>MILWAUKEE</v>
      </c>
      <c r="B785" s="2" t="str">
        <f t="shared" si="144"/>
        <v>CITY OF MILWAUKEE</v>
      </c>
      <c r="C785" s="2" t="s">
        <v>2790</v>
      </c>
      <c r="D785" s="2" t="str">
        <f>CLEAN("2100-05-01")</f>
        <v>2100-05-01</v>
      </c>
      <c r="E785" s="3" t="str">
        <f>CLEAN("C MILWAUKEE  35TH ST")</f>
        <v>C MILWAUKEE  35TH ST</v>
      </c>
      <c r="F785" s="3" t="str">
        <f>CLEAN("PIERCE ST VIADUCT P40-847 PHASE 1")</f>
        <v>PIERCE ST VIADUCT P40-847 PHASE 1</v>
      </c>
      <c r="G785" s="3" t="str">
        <f>CLEAN("PE/FULL PS/BRRHB")</f>
        <v>PE/FULL PS/BRRHB</v>
      </c>
      <c r="H785" s="2" t="str">
        <f t="shared" si="145"/>
        <v>LOC STR</v>
      </c>
      <c r="I785" s="2" t="str">
        <f>CLEAN("205")</f>
        <v>205</v>
      </c>
    </row>
    <row r="786" spans="1:9" x14ac:dyDescent="0.35">
      <c r="A786" s="2" t="str">
        <f t="shared" si="143"/>
        <v>MILWAUKEE</v>
      </c>
      <c r="B786" s="2" t="str">
        <f t="shared" si="144"/>
        <v>CITY OF MILWAUKEE</v>
      </c>
      <c r="C786" s="2" t="s">
        <v>2828</v>
      </c>
      <c r="D786" s="2" t="str">
        <f>CLEAN("2100-05-02")</f>
        <v>2100-05-02</v>
      </c>
      <c r="E786" s="3" t="str">
        <f>CLEAN("C MILWAUKEE  35TH ST")</f>
        <v>C MILWAUKEE  35TH ST</v>
      </c>
      <c r="F786" s="3" t="str">
        <f>CLEAN("PIERCE ST VIADUCT P40-847 PHASE 2")</f>
        <v>PIERCE ST VIADUCT P40-847 PHASE 2</v>
      </c>
      <c r="G786" s="3" t="str">
        <f>CLEAN("PE/FULL PSE/BRIDGE REHAB")</f>
        <v>PE/FULL PSE/BRIDGE REHAB</v>
      </c>
      <c r="H786" s="2" t="str">
        <f t="shared" si="145"/>
        <v>LOC STR</v>
      </c>
      <c r="I786" s="2" t="str">
        <f>CLEAN("205")</f>
        <v>205</v>
      </c>
    </row>
    <row r="787" spans="1:9" x14ac:dyDescent="0.35">
      <c r="A787" s="2" t="str">
        <f t="shared" si="143"/>
        <v>MILWAUKEE</v>
      </c>
      <c r="B787" s="2" t="str">
        <f t="shared" si="144"/>
        <v>CITY OF MILWAUKEE</v>
      </c>
      <c r="C787" s="2" t="s">
        <v>2876</v>
      </c>
      <c r="D787" s="2" t="str">
        <f>CLEAN("2110-05-01")</f>
        <v>2110-05-01</v>
      </c>
      <c r="E787" s="3" t="str">
        <f>CLEAN("C MILWAUKEE  W LINCOLN AVENUE")</f>
        <v>C MILWAUKEE  W LINCOLN AVENUE</v>
      </c>
      <c r="F787" s="3" t="str">
        <f>CLEAN("S 43RD ST TO S 34TH ST")</f>
        <v>S 43RD ST TO S 34TH ST</v>
      </c>
      <c r="G787" s="3" t="str">
        <f>CLEAN("PE/FULL PSE/RCND10")</f>
        <v>PE/FULL PSE/RCND10</v>
      </c>
      <c r="H787" s="2" t="str">
        <f t="shared" si="145"/>
        <v>LOC STR</v>
      </c>
      <c r="I787" s="2" t="str">
        <f>CLEAN("206")</f>
        <v>206</v>
      </c>
    </row>
    <row r="788" spans="1:9" x14ac:dyDescent="0.35">
      <c r="A788" s="2" t="str">
        <f t="shared" si="143"/>
        <v>MILWAUKEE</v>
      </c>
      <c r="B788" s="2" t="str">
        <f t="shared" si="144"/>
        <v>CITY OF MILWAUKEE</v>
      </c>
      <c r="C788" s="2" t="s">
        <v>2756</v>
      </c>
      <c r="D788" s="2" t="str">
        <f>CLEAN("2120-02-05")</f>
        <v>2120-02-05</v>
      </c>
      <c r="E788" s="3" t="str">
        <f>CLEAN("C MILWAUKEE  W FOREST HOME AVENUE")</f>
        <v>C MILWAUKEE  W FOREST HOME AVENUE</v>
      </c>
      <c r="F788" s="3" t="str">
        <f>CLEAN("S 45TH STREET TO STH 241")</f>
        <v>S 45TH STREET TO STH 241</v>
      </c>
      <c r="G788" s="3" t="str">
        <f>CLEAN("PE/FULL PS&amp;E/PVRPLA")</f>
        <v>PE/FULL PS&amp;E/PVRPLA</v>
      </c>
      <c r="H788" s="2" t="str">
        <f>CLEAN("STH 024")</f>
        <v>STH 024</v>
      </c>
      <c r="I788" s="2" t="str">
        <f>CLEAN("303")</f>
        <v>303</v>
      </c>
    </row>
    <row r="789" spans="1:9" x14ac:dyDescent="0.35">
      <c r="A789" s="2" t="str">
        <f t="shared" si="143"/>
        <v>MILWAUKEE</v>
      </c>
      <c r="B789" s="2" t="str">
        <f t="shared" si="144"/>
        <v>CITY OF MILWAUKEE</v>
      </c>
      <c r="C789" s="2" t="s">
        <v>2737</v>
      </c>
      <c r="D789" s="2" t="str">
        <f>CLEAN("2120-08-01")</f>
        <v>2120-08-01</v>
      </c>
      <c r="E789" s="3" t="str">
        <f>CLEAN("C MILWAUKEE  W FOREST HOME AVE")</f>
        <v>C MILWAUKEE  W FOREST HOME AVE</v>
      </c>
      <c r="F789" s="3" t="str">
        <f>CLEAN("INTERSECTION WITH S 16TH ST")</f>
        <v>INTERSECTION WITH S 16TH ST</v>
      </c>
      <c r="G789" s="3" t="str">
        <f>CLEAN("PE/FULL PS&amp;E/MISC")</f>
        <v>PE/FULL PS&amp;E/MISC</v>
      </c>
      <c r="H789" s="2" t="str">
        <f>CLEAN("LOC STR")</f>
        <v>LOC STR</v>
      </c>
      <c r="I789" s="2" t="str">
        <f>CLEAN("206")</f>
        <v>206</v>
      </c>
    </row>
    <row r="790" spans="1:9" x14ac:dyDescent="0.35">
      <c r="A790" s="2" t="str">
        <f t="shared" si="143"/>
        <v>MILWAUKEE</v>
      </c>
      <c r="B790" s="2" t="str">
        <f t="shared" si="144"/>
        <v>CITY OF MILWAUKEE</v>
      </c>
      <c r="C790" s="2" t="s">
        <v>3058</v>
      </c>
      <c r="D790" s="2" t="str">
        <f>CLEAN("2155-05-01")</f>
        <v>2155-05-01</v>
      </c>
      <c r="E790" s="3" t="str">
        <f>CLEAN("N SHERMAN BLVD")</f>
        <v>N SHERMAN BLVD</v>
      </c>
      <c r="F790" s="3" t="str">
        <f>CLEAN("6 LOCAL STREET INTERSECTIONS")</f>
        <v>6 LOCAL STREET INTERSECTIONS</v>
      </c>
      <c r="G790" s="3" t="str">
        <f>CLEAN("PE-FULL PSE W/LFA-SIGNAL UPDATE")</f>
        <v>PE-FULL PSE W/LFA-SIGNAL UPDATE</v>
      </c>
      <c r="H790" s="2" t="str">
        <f>CLEAN("LOC STR")</f>
        <v>LOC STR</v>
      </c>
      <c r="I790" s="2" t="str">
        <f>CLEAN("206")</f>
        <v>206</v>
      </c>
    </row>
    <row r="791" spans="1:9" x14ac:dyDescent="0.35">
      <c r="A791" s="2" t="str">
        <f t="shared" si="143"/>
        <v>MILWAUKEE</v>
      </c>
      <c r="B791" s="2" t="str">
        <f t="shared" si="144"/>
        <v>CITY OF MILWAUKEE</v>
      </c>
      <c r="C791" s="2" t="s">
        <v>2869</v>
      </c>
      <c r="D791" s="2" t="str">
        <f>CLEAN("2160-05-02")</f>
        <v>2160-05-02</v>
      </c>
      <c r="E791" s="3" t="str">
        <f>CLEAN("C MILWAUKEE  76TH STREET")</f>
        <v>C MILWAUKEE  76TH STREET</v>
      </c>
      <c r="F791" s="3" t="str">
        <f>CLEAN("STH 175 TO W GRANTOSA DR")</f>
        <v>STH 175 TO W GRANTOSA DR</v>
      </c>
      <c r="G791" s="3" t="str">
        <f>CLEAN("PE/FULL PSE/PAVEMENT REPLACEMENT")</f>
        <v>PE/FULL PSE/PAVEMENT REPLACEMENT</v>
      </c>
      <c r="H791" s="2" t="str">
        <f>CLEAN("STH 181")</f>
        <v>STH 181</v>
      </c>
      <c r="I791" s="2" t="str">
        <f>CLEAN("303")</f>
        <v>303</v>
      </c>
    </row>
    <row r="792" spans="1:9" x14ac:dyDescent="0.35">
      <c r="A792" s="2" t="str">
        <f t="shared" si="143"/>
        <v>MILWAUKEE</v>
      </c>
      <c r="B792" s="2" t="str">
        <f t="shared" si="144"/>
        <v>CITY OF MILWAUKEE</v>
      </c>
      <c r="C792" s="2" t="s">
        <v>2936</v>
      </c>
      <c r="D792" s="2" t="str">
        <f>CLEAN("2160-05-04")</f>
        <v>2160-05-04</v>
      </c>
      <c r="E792" s="3" t="str">
        <f>CLEAN("C MILWAUKEE  N 76TH ST")</f>
        <v>C MILWAUKEE  N 76TH ST</v>
      </c>
      <c r="F792" s="3" t="str">
        <f>CLEAN("0.05MI N OF CENTER TO FIEBRANTZ AV")</f>
        <v>0.05MI N OF CENTER TO FIEBRANTZ AV</v>
      </c>
      <c r="G792" s="3" t="str">
        <f>CLEAN("PE/PSRS30")</f>
        <v>PE/PSRS30</v>
      </c>
      <c r="H792" s="2" t="str">
        <f>CLEAN("STH 181")</f>
        <v>STH 181</v>
      </c>
      <c r="I792" s="2" t="str">
        <f>CLEAN("303")</f>
        <v>303</v>
      </c>
    </row>
    <row r="793" spans="1:9" x14ac:dyDescent="0.35">
      <c r="A793" s="2" t="str">
        <f t="shared" si="143"/>
        <v>MILWAUKEE</v>
      </c>
      <c r="B793" s="2" t="str">
        <f t="shared" si="144"/>
        <v>CITY OF MILWAUKEE</v>
      </c>
      <c r="C793" s="2" t="s">
        <v>2692</v>
      </c>
      <c r="D793" s="2" t="str">
        <f>CLEAN("2165-03-01")</f>
        <v>2165-03-01</v>
      </c>
      <c r="E793" s="3" t="str">
        <f>CLEAN("C MILWAUKEE  S 84TH STREET")</f>
        <v>C MILWAUKEE  S 84TH STREET</v>
      </c>
      <c r="F793" s="3" t="str">
        <f>CLEAN("BRIDGE OVER HONEY CREEK B-40-0986")</f>
        <v>BRIDGE OVER HONEY CREEK B-40-0986</v>
      </c>
      <c r="G793" s="3" t="str">
        <f>CLEAN("PE/FULL PS&amp;E ROW/BRRPL")</f>
        <v>PE/FULL PS&amp;E ROW/BRRPL</v>
      </c>
      <c r="H793" s="2" t="str">
        <f>CLEAN("STH 181")</f>
        <v>STH 181</v>
      </c>
      <c r="I793" s="2" t="str">
        <f>CLEAN("303")</f>
        <v>303</v>
      </c>
    </row>
    <row r="794" spans="1:9" x14ac:dyDescent="0.35">
      <c r="A794" s="2" t="str">
        <f t="shared" si="143"/>
        <v>MILWAUKEE</v>
      </c>
      <c r="B794" s="2" t="str">
        <f t="shared" si="144"/>
        <v>CITY OF MILWAUKEE</v>
      </c>
      <c r="C794" s="2" t="s">
        <v>2748</v>
      </c>
      <c r="D794" s="2" t="str">
        <f>CLEAN("2185-05-02")</f>
        <v>2185-05-02</v>
      </c>
      <c r="E794" s="3" t="str">
        <f>CLEAN("C MILWAUKEE  S KINNICKINNIC AVE")</f>
        <v>C MILWAUKEE  S KINNICKINNIC AVE</v>
      </c>
      <c r="F794" s="3" t="str">
        <f>CLEAN("E MORGAN AVE TO FULTON ST")</f>
        <v>E MORGAN AVE TO FULTON ST</v>
      </c>
      <c r="G794" s="3" t="str">
        <f>CLEAN("PE/FULL PS&amp;E/PAVEMENT REPLACEMENT")</f>
        <v>PE/FULL PS&amp;E/PAVEMENT REPLACEMENT</v>
      </c>
      <c r="H794" s="2" t="str">
        <f>CLEAN("STH 032")</f>
        <v>STH 032</v>
      </c>
      <c r="I794" s="2" t="str">
        <f>CLEAN("303")</f>
        <v>303</v>
      </c>
    </row>
    <row r="795" spans="1:9" x14ac:dyDescent="0.35">
      <c r="A795" s="2" t="str">
        <f t="shared" si="143"/>
        <v>MILWAUKEE</v>
      </c>
      <c r="B795" s="2" t="str">
        <f t="shared" si="144"/>
        <v>CITY OF MILWAUKEE</v>
      </c>
      <c r="C795" s="2" t="s">
        <v>2543</v>
      </c>
      <c r="D795" s="2" t="str">
        <f>CLEAN("2190-06-01")</f>
        <v>2190-06-01</v>
      </c>
      <c r="E795" s="3" t="str">
        <f>CLEAN("BIKE SHARE PHASE 1")</f>
        <v>BIKE SHARE PHASE 1</v>
      </c>
      <c r="F795" s="3" t="str">
        <f>CLEAN("24 STATIONS  DOWNTOWN &amp; NEAR DWNTWN")</f>
        <v>24 STATIONS  DOWNTOWN &amp; NEAR DWNTWN</v>
      </c>
      <c r="G795" s="3" t="str">
        <f>CLEAN("IE/INSTALL BIKE SHARE STATIONS")</f>
        <v>IE/INSTALL BIKE SHARE STATIONS</v>
      </c>
      <c r="H795" s="2" t="str">
        <f>CLEAN("NON HWY")</f>
        <v>NON HWY</v>
      </c>
      <c r="I795" s="2" t="str">
        <f>CLEAN("211")</f>
        <v>211</v>
      </c>
    </row>
    <row r="796" spans="1:9" x14ac:dyDescent="0.35">
      <c r="A796" s="2" t="str">
        <f t="shared" si="143"/>
        <v>MILWAUKEE</v>
      </c>
      <c r="B796" s="2" t="str">
        <f t="shared" si="144"/>
        <v>CITY OF MILWAUKEE</v>
      </c>
      <c r="C796" s="2" t="s">
        <v>2912</v>
      </c>
      <c r="D796" s="2" t="str">
        <f>CLEAN("2190-06-04")</f>
        <v>2190-06-04</v>
      </c>
      <c r="E796" s="3" t="str">
        <f>CLEAN("BIKE SHARE PHASE 2")</f>
        <v>BIKE SHARE PHASE 2</v>
      </c>
      <c r="F796" s="3" t="str">
        <f>CLEAN("26 STATIONS  VAR LOCATIONS C OF MKE")</f>
        <v>26 STATIONS  VAR LOCATIONS C OF MKE</v>
      </c>
      <c r="G796" s="3" t="str">
        <f>CLEAN("PE/PED BIKE FACILITIES")</f>
        <v>PE/PED BIKE FACILITIES</v>
      </c>
      <c r="H796" s="2" t="str">
        <f>CLEAN("NON HWY")</f>
        <v>NON HWY</v>
      </c>
      <c r="I796" s="2" t="str">
        <f>CLEAN("211")</f>
        <v>211</v>
      </c>
    </row>
    <row r="797" spans="1:9" x14ac:dyDescent="0.35">
      <c r="A797" s="2" t="str">
        <f t="shared" si="143"/>
        <v>MILWAUKEE</v>
      </c>
      <c r="B797" s="2" t="str">
        <f t="shared" si="144"/>
        <v>CITY OF MILWAUKEE</v>
      </c>
      <c r="C797" s="2" t="s">
        <v>2772</v>
      </c>
      <c r="D797" s="2" t="str">
        <f>CLEAN("2200-10-01")</f>
        <v>2200-10-01</v>
      </c>
      <c r="E797" s="3" t="str">
        <f>CLEAN("C WAUWATOSA/MILWAUKEE  BLUEMOUND RD")</f>
        <v>C WAUWATOSA/MILWAUKEE  BLUEMOUND RD</v>
      </c>
      <c r="F797" s="3" t="str">
        <f>CLEAN("N 106TH ST TO N 66TH ST")</f>
        <v>N 106TH ST TO N 66TH ST</v>
      </c>
      <c r="G797" s="3" t="str">
        <f>CLEAN("PE/FULL PS&amp;E/RESURFACE")</f>
        <v>PE/FULL PS&amp;E/RESURFACE</v>
      </c>
      <c r="H797" s="2" t="str">
        <f>CLEAN("USH 018")</f>
        <v>USH 018</v>
      </c>
      <c r="I797" s="2" t="str">
        <f>CLEAN("303")</f>
        <v>303</v>
      </c>
    </row>
    <row r="798" spans="1:9" x14ac:dyDescent="0.35">
      <c r="A798" s="2" t="str">
        <f t="shared" si="143"/>
        <v>MILWAUKEE</v>
      </c>
      <c r="B798" s="2" t="str">
        <f t="shared" si="144"/>
        <v>CITY OF MILWAUKEE</v>
      </c>
      <c r="C798" s="2" t="s">
        <v>2708</v>
      </c>
      <c r="D798" s="2" t="str">
        <f>CLEAN("2219-05-01")</f>
        <v>2219-05-01</v>
      </c>
      <c r="E798" s="3" t="str">
        <f>CLEAN("C MILW  1ST ST/E PITTSBURGH/MILW ST")</f>
        <v>C MILW  1ST ST/E PITTSBURGH/MILW ST</v>
      </c>
      <c r="F798" s="3" t="str">
        <f>CLEAN("E FLORIDA ST TO E ST PAUL AVE")</f>
        <v>E FLORIDA ST TO E ST PAUL AVE</v>
      </c>
      <c r="G798" s="3" t="str">
        <f>CLEAN("PE/FULL PS&amp;E ROW/PVRPLA")</f>
        <v>PE/FULL PS&amp;E ROW/PVRPLA</v>
      </c>
      <c r="H798" s="2" t="str">
        <f>CLEAN("STH 032")</f>
        <v>STH 032</v>
      </c>
      <c r="I798" s="2" t="str">
        <f>CLEAN("303")</f>
        <v>303</v>
      </c>
    </row>
    <row r="799" spans="1:9" x14ac:dyDescent="0.35">
      <c r="A799" s="2" t="str">
        <f t="shared" si="143"/>
        <v>MILWAUKEE</v>
      </c>
      <c r="B799" s="2" t="str">
        <f t="shared" si="144"/>
        <v>CITY OF MILWAUKEE</v>
      </c>
      <c r="C799" s="2" t="s">
        <v>2710</v>
      </c>
      <c r="D799" s="2" t="str">
        <f>CLEAN("2265-02-05")</f>
        <v>2265-02-05</v>
      </c>
      <c r="E799" s="3" t="str">
        <f>CLEAN("C MILWAUKEE  S 27TH STREET")</f>
        <v>C MILWAUKEE  S 27TH STREET</v>
      </c>
      <c r="F799" s="3" t="str">
        <f>CLEAN("UPRR TO STH 24")</f>
        <v>UPRR TO STH 24</v>
      </c>
      <c r="G799" s="3" t="str">
        <f>CLEAN("PE/FULL PS&amp;E ROW/PVRPLA")</f>
        <v>PE/FULL PS&amp;E ROW/PVRPLA</v>
      </c>
      <c r="H799" s="2" t="str">
        <f>CLEAN("STH 241")</f>
        <v>STH 241</v>
      </c>
      <c r="I799" s="2" t="str">
        <f>CLEAN("303")</f>
        <v>303</v>
      </c>
    </row>
    <row r="800" spans="1:9" x14ac:dyDescent="0.35">
      <c r="A800" s="2" t="str">
        <f t="shared" si="143"/>
        <v>MILWAUKEE</v>
      </c>
      <c r="B800" s="2" t="str">
        <f t="shared" si="144"/>
        <v>CITY OF MILWAUKEE</v>
      </c>
      <c r="C800" s="2" t="s">
        <v>2952</v>
      </c>
      <c r="D800" s="2" t="str">
        <f>CLEAN("2395-05-01")</f>
        <v>2395-05-01</v>
      </c>
      <c r="E800" s="3" t="str">
        <f>CLEAN("EAST/WEST HOWARD AVENUE")</f>
        <v>EAST/WEST HOWARD AVENUE</v>
      </c>
      <c r="F800" s="3" t="str">
        <f>CLEAN("S 6TH STREET TO S CLEMENT AVENUE")</f>
        <v>S 6TH STREET TO S CLEMENT AVENUE</v>
      </c>
      <c r="G800" s="3" t="str">
        <f>CLEAN("PE/RECONSTRUCT W/ NO ADDL LANES")</f>
        <v>PE/RECONSTRUCT W/ NO ADDL LANES</v>
      </c>
      <c r="H800" s="2" t="str">
        <f t="shared" ref="H800:H807" si="146">CLEAN("LOC STR")</f>
        <v>LOC STR</v>
      </c>
      <c r="I800" s="2" t="str">
        <f>CLEAN("206")</f>
        <v>206</v>
      </c>
    </row>
    <row r="801" spans="1:9" x14ac:dyDescent="0.35">
      <c r="A801" s="2" t="str">
        <f t="shared" si="143"/>
        <v>MILWAUKEE</v>
      </c>
      <c r="B801" s="2" t="str">
        <f t="shared" si="144"/>
        <v>CITY OF MILWAUKEE</v>
      </c>
      <c r="C801" s="2" t="s">
        <v>3061</v>
      </c>
      <c r="D801" s="2" t="str">
        <f>CLEAN("2400-07-01")</f>
        <v>2400-07-01</v>
      </c>
      <c r="E801" s="3" t="str">
        <f>CLEAN("OKLAHOMA AVENUE MULTIMODAL")</f>
        <v>OKLAHOMA AVENUE MULTIMODAL</v>
      </c>
      <c r="F801" s="3" t="str">
        <f>CLEAN("S 27TH ST TO S 6TH ST")</f>
        <v>S 27TH ST TO S 6TH ST</v>
      </c>
      <c r="G801" s="3" t="str">
        <f>CLEAN("PE-LOCAL LET/PED IMPROVEMENTS")</f>
        <v>PE-LOCAL LET/PED IMPROVEMENTS</v>
      </c>
      <c r="H801" s="2" t="str">
        <f t="shared" si="146"/>
        <v>LOC STR</v>
      </c>
      <c r="I801" s="2" t="str">
        <f>CLEAN("290")</f>
        <v>290</v>
      </c>
    </row>
    <row r="802" spans="1:9" x14ac:dyDescent="0.35">
      <c r="A802" s="2" t="str">
        <f t="shared" si="143"/>
        <v>MILWAUKEE</v>
      </c>
      <c r="B802" s="2" t="str">
        <f t="shared" si="144"/>
        <v>CITY OF MILWAUKEE</v>
      </c>
      <c r="C802" s="2" t="s">
        <v>2805</v>
      </c>
      <c r="D802" s="2" t="str">
        <f>CLEAN("2415-02-01")</f>
        <v>2415-02-01</v>
      </c>
      <c r="E802" s="3" t="str">
        <f>CLEAN("C MILWAUKEE  N 60TH ST")</f>
        <v>C MILWAUKEE  N 60TH ST</v>
      </c>
      <c r="F802" s="3" t="str">
        <f>CLEAN("INTERSECTIONS WITH KEEFE &amp; BURLEIGH")</f>
        <v>INTERSECTIONS WITH KEEFE &amp; BURLEIGH</v>
      </c>
      <c r="G802" s="3" t="str">
        <f>CLEAN("PE/FULL PS/MISC")</f>
        <v>PE/FULL PS/MISC</v>
      </c>
      <c r="H802" s="2" t="str">
        <f t="shared" si="146"/>
        <v>LOC STR</v>
      </c>
      <c r="I802" s="2" t="str">
        <f>CLEAN("206")</f>
        <v>206</v>
      </c>
    </row>
    <row r="803" spans="1:9" x14ac:dyDescent="0.35">
      <c r="A803" s="2" t="str">
        <f t="shared" si="143"/>
        <v>MILWAUKEE</v>
      </c>
      <c r="B803" s="2" t="str">
        <f t="shared" si="144"/>
        <v>CITY OF MILWAUKEE</v>
      </c>
      <c r="C803" s="2" t="s">
        <v>2947</v>
      </c>
      <c r="D803" s="2" t="str">
        <f>CLEAN("2590-04-01")</f>
        <v>2590-04-01</v>
      </c>
      <c r="E803" s="3" t="str">
        <f>CLEAN("W LISBON AVENUE")</f>
        <v>W LISBON AVENUE</v>
      </c>
      <c r="F803" s="3" t="str">
        <f>CLEAN("W BURLEIGH ST TO N 100TH ST")</f>
        <v>W BURLEIGH ST TO N 100TH ST</v>
      </c>
      <c r="G803" s="3" t="str">
        <f>CLEAN("PE/RECONSTRUCT NO ADDL LANES")</f>
        <v>PE/RECONSTRUCT NO ADDL LANES</v>
      </c>
      <c r="H803" s="2" t="str">
        <f t="shared" si="146"/>
        <v>LOC STR</v>
      </c>
      <c r="I803" s="2" t="str">
        <f>CLEAN("206")</f>
        <v>206</v>
      </c>
    </row>
    <row r="804" spans="1:9" x14ac:dyDescent="0.35">
      <c r="A804" s="2" t="str">
        <f t="shared" si="143"/>
        <v>MILWAUKEE</v>
      </c>
      <c r="B804" s="2" t="str">
        <f t="shared" si="144"/>
        <v>CITY OF MILWAUKEE</v>
      </c>
      <c r="C804" s="2" t="s">
        <v>2883</v>
      </c>
      <c r="D804" s="2" t="str">
        <f>CLEAN("2615-05-01")</f>
        <v>2615-05-01</v>
      </c>
      <c r="E804" s="3" t="str">
        <f>CLEAN("C MILWAUKEE  16TH ST BIKE LANE")</f>
        <v>C MILWAUKEE  16TH ST BIKE LANE</v>
      </c>
      <c r="F804" s="3" t="str">
        <f>CLEAN("W HOWARD AVE TO W MANITOBA ST")</f>
        <v>W HOWARD AVE TO W MANITOBA ST</v>
      </c>
      <c r="G804" s="3" t="str">
        <f>CLEAN("PE/FULL PSE/RECST")</f>
        <v>PE/FULL PSE/RECST</v>
      </c>
      <c r="H804" s="2" t="str">
        <f t="shared" si="146"/>
        <v>LOC STR</v>
      </c>
      <c r="I804" s="2" t="str">
        <f>CLEAN("211")</f>
        <v>211</v>
      </c>
    </row>
    <row r="805" spans="1:9" x14ac:dyDescent="0.35">
      <c r="A805" s="2" t="str">
        <f t="shared" si="143"/>
        <v>MILWAUKEE</v>
      </c>
      <c r="B805" s="2" t="str">
        <f t="shared" si="144"/>
        <v>CITY OF MILWAUKEE</v>
      </c>
      <c r="C805" s="2" t="s">
        <v>2745</v>
      </c>
      <c r="D805" s="2" t="str">
        <f>CLEAN("2615-08-01")</f>
        <v>2615-08-01</v>
      </c>
      <c r="E805" s="3" t="str">
        <f>CLEAN("C MILWAUKEE  W GREENFIELD AVE")</f>
        <v>C MILWAUKEE  W GREENFIELD AVE</v>
      </c>
      <c r="F805" s="3" t="str">
        <f>CLEAN("S CESAR CHAVEZ DR &amp; S MUSKEGO AVE")</f>
        <v>S CESAR CHAVEZ DR &amp; S MUSKEGO AVE</v>
      </c>
      <c r="G805" s="3" t="str">
        <f>CLEAN("PE/FULL PS&amp;E/MISC")</f>
        <v>PE/FULL PS&amp;E/MISC</v>
      </c>
      <c r="H805" s="2" t="str">
        <f t="shared" si="146"/>
        <v>LOC STR</v>
      </c>
      <c r="I805" s="2" t="str">
        <f>CLEAN("206")</f>
        <v>206</v>
      </c>
    </row>
    <row r="806" spans="1:9" x14ac:dyDescent="0.35">
      <c r="A806" s="2" t="str">
        <f t="shared" si="143"/>
        <v>MILWAUKEE</v>
      </c>
      <c r="B806" s="2" t="str">
        <f t="shared" si="144"/>
        <v>CITY OF MILWAUKEE</v>
      </c>
      <c r="C806" s="2" t="s">
        <v>2746</v>
      </c>
      <c r="D806" s="2" t="str">
        <f>CLEAN("2615-08-02")</f>
        <v>2615-08-02</v>
      </c>
      <c r="E806" s="3" t="str">
        <f>CLEAN("C MILWAUKEE  S CESAR CHAVEZ/S 16TH")</f>
        <v>C MILWAUKEE  S CESAR CHAVEZ/S 16TH</v>
      </c>
      <c r="F806" s="3" t="str">
        <f>CLEAN("WITH BURNHAM  MITCHELL AND LAPHAM")</f>
        <v>WITH BURNHAM  MITCHELL AND LAPHAM</v>
      </c>
      <c r="G806" s="3" t="str">
        <f>CLEAN("PE/FULL PS&amp;E/MISC")</f>
        <v>PE/FULL PS&amp;E/MISC</v>
      </c>
      <c r="H806" s="2" t="str">
        <f t="shared" si="146"/>
        <v>LOC STR</v>
      </c>
      <c r="I806" s="2" t="str">
        <f>CLEAN("206")</f>
        <v>206</v>
      </c>
    </row>
    <row r="807" spans="1:9" x14ac:dyDescent="0.35">
      <c r="A807" s="2" t="str">
        <f t="shared" si="143"/>
        <v>MILWAUKEE</v>
      </c>
      <c r="B807" s="2" t="str">
        <f t="shared" si="144"/>
        <v>CITY OF MILWAUKEE</v>
      </c>
      <c r="C807" s="2" t="s">
        <v>2731</v>
      </c>
      <c r="D807" s="2" t="str">
        <f>CLEAN("2984-01-09")</f>
        <v>2984-01-09</v>
      </c>
      <c r="E807" s="3" t="str">
        <f>CLEAN("C MILWAUKEE  N 51ST ST")</f>
        <v>C MILWAUKEE  N 51ST ST</v>
      </c>
      <c r="F807" s="3" t="str">
        <f>CLEAN("AT BURLEIGH AND CENTER")</f>
        <v>AT BURLEIGH AND CENTER</v>
      </c>
      <c r="G807" s="3" t="str">
        <f>CLEAN("PE/FULL PS&amp;E/MISC")</f>
        <v>PE/FULL PS&amp;E/MISC</v>
      </c>
      <c r="H807" s="2" t="str">
        <f t="shared" si="146"/>
        <v>LOC STR</v>
      </c>
      <c r="I807" s="2" t="str">
        <f>CLEAN("206")</f>
        <v>206</v>
      </c>
    </row>
    <row r="808" spans="1:9" x14ac:dyDescent="0.35">
      <c r="A808" s="2" t="str">
        <f t="shared" si="143"/>
        <v>MILWAUKEE</v>
      </c>
      <c r="B808" s="2" t="str">
        <f t="shared" si="144"/>
        <v>CITY OF MILWAUKEE</v>
      </c>
      <c r="C808" s="2" t="s">
        <v>3022</v>
      </c>
      <c r="D808" s="2" t="str">
        <f>CLEAN("2984-04-01")</f>
        <v>2984-04-01</v>
      </c>
      <c r="E808" s="3" t="str">
        <f>CLEAN("VARIOUS HIGHWAYS")</f>
        <v>VARIOUS HIGHWAYS</v>
      </c>
      <c r="F808" s="3" t="str">
        <f>CLEAN("3 CONNECTING HWY INTERSECTIONS")</f>
        <v>3 CONNECTING HWY INTERSECTIONS</v>
      </c>
      <c r="G808" s="3" t="str">
        <f>CLEAN("PE/TRAFFIC SIGNALS/FLASHERS")</f>
        <v>PE/TRAFFIC SIGNALS/FLASHERS</v>
      </c>
      <c r="H808" s="2" t="str">
        <f>CLEAN("VAR HWY")</f>
        <v>VAR HWY</v>
      </c>
      <c r="I808" s="2" t="str">
        <f>CLEAN("305")</f>
        <v>305</v>
      </c>
    </row>
    <row r="809" spans="1:9" x14ac:dyDescent="0.35">
      <c r="A809" s="2" t="str">
        <f t="shared" si="143"/>
        <v>MILWAUKEE</v>
      </c>
      <c r="B809" s="2" t="str">
        <f t="shared" si="144"/>
        <v>CITY OF MILWAUKEE</v>
      </c>
      <c r="C809" s="2" t="s">
        <v>2958</v>
      </c>
      <c r="D809" s="2" t="str">
        <f>CLEAN("2984-06-09")</f>
        <v>2984-06-09</v>
      </c>
      <c r="E809" s="3" t="str">
        <f>CLEAN("ROAD DIET  CITY OF MILWAUKEE")</f>
        <v>ROAD DIET  CITY OF MILWAUKEE</v>
      </c>
      <c r="F809" s="3" t="str">
        <f>CLEAN("6 LOCAL STREETS  PER PROJECT APPL")</f>
        <v>6 LOCAL STREETS  PER PROJECT APPL</v>
      </c>
      <c r="G809" s="3" t="str">
        <f>CLEAN("PE/REDUCE THROUGH LANES")</f>
        <v>PE/REDUCE THROUGH LANES</v>
      </c>
      <c r="H809" s="2" t="str">
        <f>CLEAN("VAR HWY")</f>
        <v>VAR HWY</v>
      </c>
      <c r="I809" s="2" t="str">
        <f>CLEAN("206")</f>
        <v>206</v>
      </c>
    </row>
    <row r="810" spans="1:9" x14ac:dyDescent="0.35">
      <c r="A810" s="2" t="str">
        <f t="shared" si="143"/>
        <v>MILWAUKEE</v>
      </c>
      <c r="B810" s="2" t="str">
        <f t="shared" si="144"/>
        <v>CITY OF MILWAUKEE</v>
      </c>
      <c r="C810" s="2" t="s">
        <v>3017</v>
      </c>
      <c r="D810" s="2" t="str">
        <f>CLEAN("2984-09-03")</f>
        <v>2984-09-03</v>
      </c>
      <c r="E810" s="3" t="str">
        <f>CLEAN("COMPUTER OPTIMIZATION TRAFFIC SGNLS")</f>
        <v>COMPUTER OPTIMIZATION TRAFFIC SGNLS</v>
      </c>
      <c r="F810" s="3" t="str">
        <f>CLEAN("135 LOCATIONS  CITY OF MILWAUKEE")</f>
        <v>135 LOCATIONS  CITY OF MILWAUKEE</v>
      </c>
      <c r="G810" s="3" t="str">
        <f>CLEAN("PE/TIMING/OPTIMIZATION")</f>
        <v>PE/TIMING/OPTIMIZATION</v>
      </c>
      <c r="H810" s="2" t="str">
        <f>CLEAN("VAR HWY")</f>
        <v>VAR HWY</v>
      </c>
      <c r="I810" s="2" t="str">
        <f>CLEAN("211")</f>
        <v>211</v>
      </c>
    </row>
    <row r="811" spans="1:9" x14ac:dyDescent="0.35">
      <c r="A811" s="2" t="str">
        <f t="shared" si="143"/>
        <v>MILWAUKEE</v>
      </c>
      <c r="B811" s="2" t="str">
        <f t="shared" si="144"/>
        <v>CITY OF MILWAUKEE</v>
      </c>
      <c r="C811" s="2" t="s">
        <v>2766</v>
      </c>
      <c r="D811" s="2" t="str">
        <f>CLEAN("2984-10-04")</f>
        <v>2984-10-04</v>
      </c>
      <c r="E811" s="3" t="str">
        <f>CLEAN("C MILWAUKEE  W VLIET STREET")</f>
        <v>C MILWAUKEE  W VLIET STREET</v>
      </c>
      <c r="F811" s="3" t="str">
        <f>CLEAN("N 27TH STREET TO N 12TH STREET")</f>
        <v>N 27TH STREET TO N 12TH STREET</v>
      </c>
      <c r="G811" s="3" t="str">
        <f>CLEAN("PE/FULL PS&amp;E/RECONSTRUCT")</f>
        <v>PE/FULL PS&amp;E/RECONSTRUCT</v>
      </c>
      <c r="H811" s="2" t="str">
        <f>CLEAN("LOC STR")</f>
        <v>LOC STR</v>
      </c>
      <c r="I811" s="2" t="str">
        <f>CLEAN("206")</f>
        <v>206</v>
      </c>
    </row>
    <row r="812" spans="1:9" x14ac:dyDescent="0.35">
      <c r="A812" s="2" t="str">
        <f t="shared" si="143"/>
        <v>MILWAUKEE</v>
      </c>
      <c r="B812" s="2" t="str">
        <f t="shared" si="144"/>
        <v>CITY OF MILWAUKEE</v>
      </c>
      <c r="C812" s="2" t="s">
        <v>2638</v>
      </c>
      <c r="D812" s="2" t="str">
        <f>CLEAN("2984-12-03")</f>
        <v>2984-12-03</v>
      </c>
      <c r="E812" s="3" t="str">
        <f>CLEAN("NORTH HOLTON STREET - PHASE 1")</f>
        <v>NORTH HOLTON STREET - PHASE 1</v>
      </c>
      <c r="F812" s="3" t="str">
        <f>CLEAN("BR OVER MILW RVR  COMMERCE  WATER")</f>
        <v>BR OVER MILW RVR  COMMERCE  WATER</v>
      </c>
      <c r="G812" s="3" t="str">
        <f>CLEAN("PE/BRIDGE REHABILITATION/P-40-0875")</f>
        <v>PE/BRIDGE REHABILITATION/P-40-0875</v>
      </c>
      <c r="H812" s="2" t="str">
        <f>CLEAN("LOC STR")</f>
        <v>LOC STR</v>
      </c>
      <c r="I812" s="2" t="str">
        <f>CLEAN("205")</f>
        <v>205</v>
      </c>
    </row>
    <row r="813" spans="1:9" x14ac:dyDescent="0.35">
      <c r="A813" s="2" t="str">
        <f t="shared" si="143"/>
        <v>MILWAUKEE</v>
      </c>
      <c r="B813" s="2" t="str">
        <f t="shared" si="144"/>
        <v>CITY OF MILWAUKEE</v>
      </c>
      <c r="C813" s="2" t="s">
        <v>3049</v>
      </c>
      <c r="D813" s="2" t="str">
        <f>CLEAN("2984-12-04")</f>
        <v>2984-12-04</v>
      </c>
      <c r="E813" s="3" t="str">
        <f>CLEAN("C MILWAUKEE  N HOLTON ST PHASE 2")</f>
        <v>C MILWAUKEE  N HOLTON ST PHASE 2</v>
      </c>
      <c r="F813" s="3" t="str">
        <f>CLEAN("BR OVER MILW RVR  COMMERCE  WATER")</f>
        <v>BR OVER MILW RVR  COMMERCE  WATER</v>
      </c>
      <c r="G813" s="3" t="str">
        <f>CLEAN("PE-FULL PS&amp;E-BRIDGE REHAB")</f>
        <v>PE-FULL PS&amp;E-BRIDGE REHAB</v>
      </c>
      <c r="H813" s="2" t="str">
        <f>CLEAN("LOC STR")</f>
        <v>LOC STR</v>
      </c>
      <c r="I813" s="2" t="str">
        <f>CLEAN("205")</f>
        <v>205</v>
      </c>
    </row>
    <row r="814" spans="1:9" x14ac:dyDescent="0.35">
      <c r="A814" s="2" t="str">
        <f t="shared" si="143"/>
        <v>MILWAUKEE</v>
      </c>
      <c r="B814" s="2" t="str">
        <f t="shared" si="144"/>
        <v>CITY OF MILWAUKEE</v>
      </c>
      <c r="C814" s="2" t="s">
        <v>3050</v>
      </c>
      <c r="D814" s="2" t="str">
        <f>CLEAN("2984-12-05")</f>
        <v>2984-12-05</v>
      </c>
      <c r="E814" s="3" t="str">
        <f>CLEAN("C MILWAUKEE N HOLTON ST PHASE 3")</f>
        <v>C MILWAUKEE N HOLTON ST PHASE 3</v>
      </c>
      <c r="F814" s="3" t="str">
        <f>CLEAN("BR OVR MILW RIVER COMMERCE  WATER")</f>
        <v>BR OVR MILW RIVER COMMERCE  WATER</v>
      </c>
      <c r="G814" s="3" t="str">
        <f>CLEAN("PE-FULL PS&amp;E-BRIDGE REHAB")</f>
        <v>PE-FULL PS&amp;E-BRIDGE REHAB</v>
      </c>
      <c r="H814" s="2" t="str">
        <f>CLEAN("LOC STR")</f>
        <v>LOC STR</v>
      </c>
      <c r="I814" s="2" t="str">
        <f>CLEAN("205")</f>
        <v>205</v>
      </c>
    </row>
    <row r="815" spans="1:9" x14ac:dyDescent="0.35">
      <c r="A815" s="2" t="str">
        <f t="shared" si="143"/>
        <v>MILWAUKEE</v>
      </c>
      <c r="B815" s="2" t="str">
        <f t="shared" si="144"/>
        <v>CITY OF MILWAUKEE</v>
      </c>
      <c r="C815" s="2" t="s">
        <v>2851</v>
      </c>
      <c r="D815" s="2" t="str">
        <f>CLEAN("3700-06-01")</f>
        <v>3700-06-01</v>
      </c>
      <c r="E815" s="3" t="str">
        <f>CLEAN("INSTALL VIDEO DETECTION")</f>
        <v>INSTALL VIDEO DETECTION</v>
      </c>
      <c r="F815" s="3" t="str">
        <f>CLEAN("7 CONNECTING HIGHWAY INTERSECTIONS")</f>
        <v>7 CONNECTING HIGHWAY INTERSECTIONS</v>
      </c>
      <c r="G815" s="3" t="str">
        <f>CLEAN("PE/FULL PSE/MISC")</f>
        <v>PE/FULL PSE/MISC</v>
      </c>
      <c r="H815" s="2" t="str">
        <f>CLEAN("VAR HWY")</f>
        <v>VAR HWY</v>
      </c>
      <c r="I815" s="2" t="str">
        <f>CLEAN("305")</f>
        <v>305</v>
      </c>
    </row>
    <row r="816" spans="1:9" x14ac:dyDescent="0.35">
      <c r="A816" s="2" t="str">
        <f t="shared" si="143"/>
        <v>MILWAUKEE</v>
      </c>
      <c r="B816" s="2" t="str">
        <f t="shared" si="144"/>
        <v>CITY OF MILWAUKEE</v>
      </c>
      <c r="C816" s="2" t="s">
        <v>2848</v>
      </c>
      <c r="D816" s="2" t="str">
        <f>CLEAN("3700-06-02")</f>
        <v>3700-06-02</v>
      </c>
      <c r="E816" s="3" t="str">
        <f>CLEAN("INSTALL TRAFFIC SIGNAL FACE 12 INCH")</f>
        <v>INSTALL TRAFFIC SIGNAL FACE 12 INCH</v>
      </c>
      <c r="F816" s="3" t="str">
        <f>CLEAN("34 CONNECTING HIGHWAY INTERSECTIONS")</f>
        <v>34 CONNECTING HIGHWAY INTERSECTIONS</v>
      </c>
      <c r="G816" s="3" t="str">
        <f>CLEAN("PE/FULL PSE/MISC")</f>
        <v>PE/FULL PSE/MISC</v>
      </c>
      <c r="H816" s="2" t="str">
        <f>CLEAN("VAR HWY")</f>
        <v>VAR HWY</v>
      </c>
      <c r="I816" s="2" t="str">
        <f>CLEAN("305")</f>
        <v>305</v>
      </c>
    </row>
    <row r="817" spans="1:9" x14ac:dyDescent="0.35">
      <c r="A817" s="2" t="str">
        <f t="shared" si="143"/>
        <v>MILWAUKEE</v>
      </c>
      <c r="B817" s="2" t="str">
        <f t="shared" si="144"/>
        <v>CITY OF MILWAUKEE</v>
      </c>
      <c r="C817" s="2" t="s">
        <v>2896</v>
      </c>
      <c r="D817" s="2" t="str">
        <f>CLEAN("1009-22-01")</f>
        <v>1009-22-01</v>
      </c>
      <c r="E817" s="3" t="str">
        <f>CLEAN("TUNNEL INSPECTIONS FY 24-28")</f>
        <v>TUNNEL INSPECTIONS FY 24-28</v>
      </c>
      <c r="F817" s="3" t="str">
        <f>CLEAN("T40-0001  T40-0292/3")</f>
        <v>T40-0001  T40-0292/3</v>
      </c>
      <c r="G817" s="3" t="str">
        <f>CLEAN("PE/INSPECTIONS")</f>
        <v>PE/INSPECTIONS</v>
      </c>
      <c r="H817" s="2" t="str">
        <f>CLEAN("LOC STR")</f>
        <v>LOC STR</v>
      </c>
      <c r="I817" s="2" t="str">
        <f>CLEAN("303")</f>
        <v>303</v>
      </c>
    </row>
    <row r="818" spans="1:9" x14ac:dyDescent="0.35">
      <c r="A818" s="2" t="str">
        <f t="shared" si="143"/>
        <v>MILWAUKEE</v>
      </c>
      <c r="B818" s="2" t="str">
        <f t="shared" si="144"/>
        <v>CITY OF MILWAUKEE</v>
      </c>
      <c r="C818" s="2" t="s">
        <v>843</v>
      </c>
      <c r="D818" s="2" t="str">
        <f>CLEAN("1060-27-71")</f>
        <v>1060-27-71</v>
      </c>
      <c r="E818" s="3" t="str">
        <f>CLEAN("I-94 EAST WEST  WEST LEG")</f>
        <v>I-94 EAST WEST  WEST LEG</v>
      </c>
      <c r="F818" s="3" t="str">
        <f>CLEAN("70TH STREET TO ZABLOCKI DRIVE")</f>
        <v>70TH STREET TO ZABLOCKI DRIVE</v>
      </c>
      <c r="G818" s="3" t="str">
        <f>CLEAN("CONST/RECSTE")</f>
        <v>CONST/RECSTE</v>
      </c>
      <c r="H818" s="2" t="str">
        <f>CLEAN("IH  094")</f>
        <v>IH  094</v>
      </c>
      <c r="I818" s="2" t="str">
        <f>CLEAN("301EW")</f>
        <v>301EW</v>
      </c>
    </row>
    <row r="819" spans="1:9" x14ac:dyDescent="0.35">
      <c r="A819" s="2" t="str">
        <f t="shared" si="143"/>
        <v>MILWAUKEE</v>
      </c>
      <c r="B819" s="2" t="str">
        <f t="shared" si="144"/>
        <v>CITY OF MILWAUKEE</v>
      </c>
      <c r="C819" s="2" t="s">
        <v>822</v>
      </c>
      <c r="D819" s="2" t="str">
        <f>CLEAN("1060-27-74")</f>
        <v>1060-27-74</v>
      </c>
      <c r="E819" s="3" t="str">
        <f>CLEAN("I-94 EAST WEST  EARLY EAST LEG")</f>
        <v>I-94 EAST WEST  EARLY EAST LEG</v>
      </c>
      <c r="F819" s="3" t="str">
        <f>CLEAN("30TH STREET TO 25TH STREET")</f>
        <v>30TH STREET TO 25TH STREET</v>
      </c>
      <c r="G819" s="3" t="str">
        <f>CLEAN("CONST/RECST")</f>
        <v>CONST/RECST</v>
      </c>
      <c r="H819" s="2" t="str">
        <f>CLEAN("IH  094")</f>
        <v>IH  094</v>
      </c>
      <c r="I819" s="2" t="str">
        <f>CLEAN("301EW")</f>
        <v>301EW</v>
      </c>
    </row>
    <row r="820" spans="1:9" x14ac:dyDescent="0.35">
      <c r="A820" s="2" t="str">
        <f t="shared" si="143"/>
        <v>MILWAUKEE</v>
      </c>
      <c r="B820" s="2" t="str">
        <f t="shared" si="144"/>
        <v>CITY OF MILWAUKEE</v>
      </c>
      <c r="C820" s="2" t="s">
        <v>1013</v>
      </c>
      <c r="D820" s="2" t="str">
        <f>CLEAN("1100-45-70")</f>
        <v>1100-45-70</v>
      </c>
      <c r="E820" s="3" t="str">
        <f>CLEAN("IH 41 AIRPORT FREEWAY")</f>
        <v>IH 41 AIRPORT FREEWAY</v>
      </c>
      <c r="F820" s="3" t="str">
        <f>CLEAN("84TH ST TO 35TH ST (MAINLINE)")</f>
        <v>84TH ST TO 35TH ST (MAINLINE)</v>
      </c>
      <c r="G820" s="3" t="str">
        <f>CLEAN("CONST/RSRF/BRIDGE REHAB/NOISE BARR")</f>
        <v>CONST/RSRF/BRIDGE REHAB/NOISE BARR</v>
      </c>
      <c r="H820" s="2" t="str">
        <f>CLEAN("IH  041")</f>
        <v>IH  041</v>
      </c>
      <c r="I820" s="2" t="str">
        <f t="shared" ref="I820:I827" si="147">CLEAN("303")</f>
        <v>303</v>
      </c>
    </row>
    <row r="821" spans="1:9" x14ac:dyDescent="0.35">
      <c r="A821" s="2" t="str">
        <f t="shared" si="143"/>
        <v>MILWAUKEE</v>
      </c>
      <c r="B821" s="2" t="str">
        <f t="shared" si="144"/>
        <v>CITY OF MILWAUKEE</v>
      </c>
      <c r="C821" s="2" t="s">
        <v>475</v>
      </c>
      <c r="D821" s="2" t="str">
        <f>CLEAN("1100-46-71")</f>
        <v>1100-46-71</v>
      </c>
      <c r="E821" s="3" t="str">
        <f>CLEAN("IH 41 AIRPORT FREEWAY")</f>
        <v>IH 41 AIRPORT FREEWAY</v>
      </c>
      <c r="F821" s="3" t="str">
        <f>CLEAN("STH 36 (LOOMIS RD) BRIDGE")</f>
        <v>STH 36 (LOOMIS RD) BRIDGE</v>
      </c>
      <c r="G821" s="3" t="str">
        <f>CLEAN("CONST/BRIDGE REPLACEMENT  PRESERV")</f>
        <v>CONST/BRIDGE REPLACEMENT  PRESERV</v>
      </c>
      <c r="H821" s="2" t="str">
        <f>CLEAN("IH  041")</f>
        <v>IH  041</v>
      </c>
      <c r="I821" s="2" t="str">
        <f t="shared" si="147"/>
        <v>303</v>
      </c>
    </row>
    <row r="822" spans="1:9" x14ac:dyDescent="0.35">
      <c r="A822" s="2" t="str">
        <f t="shared" si="143"/>
        <v>MILWAUKEE</v>
      </c>
      <c r="B822" s="2" t="str">
        <f t="shared" si="144"/>
        <v>CITY OF MILWAUKEE</v>
      </c>
      <c r="C822" s="2" t="s">
        <v>1001</v>
      </c>
      <c r="D822" s="2" t="str">
        <f>CLEAN("1228-09-76")</f>
        <v>1228-09-76</v>
      </c>
      <c r="E822" s="3" t="str">
        <f>CLEAN("IH 43 NORTH SOUTH FREEWAY")</f>
        <v>IH 43 NORTH SOUTH FREEWAY</v>
      </c>
      <c r="F822" s="3" t="str">
        <f>CLEAN("MITCHELL IC-MARQUETTE IC ON/OFF RMP")</f>
        <v>MITCHELL IC-MARQUETTE IC ON/OFF RMP</v>
      </c>
      <c r="G822" s="3" t="str">
        <f>CLEAN("CONST/RESURFACE/BRIDGE MAINTENANCE")</f>
        <v>CONST/RESURFACE/BRIDGE MAINTENANCE</v>
      </c>
      <c r="H822" s="2" t="str">
        <f>CLEAN("IH  043")</f>
        <v>IH  043</v>
      </c>
      <c r="I822" s="2" t="str">
        <f t="shared" si="147"/>
        <v>303</v>
      </c>
    </row>
    <row r="823" spans="1:9" x14ac:dyDescent="0.35">
      <c r="A823" s="2" t="str">
        <f t="shared" si="143"/>
        <v>MILWAUKEE</v>
      </c>
      <c r="B823" s="2" t="str">
        <f t="shared" si="144"/>
        <v>CITY OF MILWAUKEE</v>
      </c>
      <c r="C823" s="2" t="s">
        <v>759</v>
      </c>
      <c r="D823" s="2" t="str">
        <f>CLEAN("1228-09-77")</f>
        <v>1228-09-77</v>
      </c>
      <c r="E823" s="3" t="str">
        <f>CLEAN("IH 43 NORTH SOUTH FREEWAY")</f>
        <v>IH 43 NORTH SOUTH FREEWAY</v>
      </c>
      <c r="F823" s="3" t="str">
        <f>CLEAN("BECHER I/C")</f>
        <v>BECHER I/C</v>
      </c>
      <c r="G823" s="3" t="str">
        <f>CLEAN("CONST/RECONSTRUCT")</f>
        <v>CONST/RECONSTRUCT</v>
      </c>
      <c r="H823" s="2" t="str">
        <f>CLEAN("OFF SYS")</f>
        <v>OFF SYS</v>
      </c>
      <c r="I823" s="2" t="str">
        <f t="shared" si="147"/>
        <v>303</v>
      </c>
    </row>
    <row r="824" spans="1:9" x14ac:dyDescent="0.35">
      <c r="A824" s="2" t="str">
        <f t="shared" si="143"/>
        <v>MILWAUKEE</v>
      </c>
      <c r="B824" s="2" t="str">
        <f t="shared" si="144"/>
        <v>CITY OF MILWAUKEE</v>
      </c>
      <c r="C824" s="2" t="s">
        <v>3136</v>
      </c>
      <c r="D824" s="2" t="str">
        <f>CLEAN("1228-22-23")</f>
        <v>1228-22-23</v>
      </c>
      <c r="E824" s="3" t="str">
        <f>CLEAN("IH 43 NORTH SOUTH FREEWAY")</f>
        <v>IH 43 NORTH SOUTH FREEWAY</v>
      </c>
      <c r="F824" s="3" t="str">
        <f>CLEAN("HALYARD ST TO CAPITOL DRIVE")</f>
        <v>HALYARD ST TO CAPITOL DRIVE</v>
      </c>
      <c r="G824" s="3" t="str">
        <f>CLEAN("RE/BRRHB")</f>
        <v>RE/BRRHB</v>
      </c>
      <c r="H824" s="2" t="str">
        <f>CLEAN("IH  043")</f>
        <v>IH  043</v>
      </c>
      <c r="I824" s="2" t="str">
        <f t="shared" si="147"/>
        <v>303</v>
      </c>
    </row>
    <row r="825" spans="1:9" x14ac:dyDescent="0.35">
      <c r="A825" s="2" t="str">
        <f t="shared" si="143"/>
        <v>MILWAUKEE</v>
      </c>
      <c r="B825" s="2" t="str">
        <f t="shared" si="144"/>
        <v>CITY OF MILWAUKEE</v>
      </c>
      <c r="C825" s="2" t="s">
        <v>45</v>
      </c>
      <c r="D825" s="2" t="str">
        <f>CLEAN("1228-22-70")</f>
        <v>1228-22-70</v>
      </c>
      <c r="E825" s="3" t="str">
        <f>CLEAN("IH 43 NORTH SOUTH FREEWAY")</f>
        <v>IH 43 NORTH SOUTH FREEWAY</v>
      </c>
      <c r="F825" s="3" t="str">
        <f>CLEAN("BROWN STREET TO CAPITOL DRIVE")</f>
        <v>BROWN STREET TO CAPITOL DRIVE</v>
      </c>
      <c r="G825" s="3" t="str">
        <f>CLEAN("CONST / RESURFACE")</f>
        <v>CONST / RESURFACE</v>
      </c>
      <c r="H825" s="2" t="str">
        <f>CLEAN("IH  043")</f>
        <v>IH  043</v>
      </c>
      <c r="I825" s="2" t="str">
        <f t="shared" si="147"/>
        <v>303</v>
      </c>
    </row>
    <row r="826" spans="1:9" x14ac:dyDescent="0.35">
      <c r="A826" s="2" t="str">
        <f t="shared" si="143"/>
        <v>MILWAUKEE</v>
      </c>
      <c r="B826" s="2" t="str">
        <f t="shared" si="144"/>
        <v>CITY OF MILWAUKEE</v>
      </c>
      <c r="C826" s="2" t="s">
        <v>387</v>
      </c>
      <c r="D826" s="2" t="str">
        <f>CLEAN("1228-22-73")</f>
        <v>1228-22-73</v>
      </c>
      <c r="E826" s="3" t="str">
        <f>CLEAN("IH 43 NORTH SOUTH FREEWAY")</f>
        <v>IH 43 NORTH SOUTH FREEWAY</v>
      </c>
      <c r="F826" s="3" t="str">
        <f>CLEAN("HALYARD ST TO CAPITOL DRIVE")</f>
        <v>HALYARD ST TO CAPITOL DRIVE</v>
      </c>
      <c r="G826" s="3" t="str">
        <f>CLEAN("CONST/BRIDGE REHAB")</f>
        <v>CONST/BRIDGE REHAB</v>
      </c>
      <c r="H826" s="2" t="str">
        <f>CLEAN("IH  043")</f>
        <v>IH  043</v>
      </c>
      <c r="I826" s="2" t="str">
        <f t="shared" si="147"/>
        <v>303</v>
      </c>
    </row>
    <row r="827" spans="1:9" x14ac:dyDescent="0.35">
      <c r="A827" s="2" t="str">
        <f t="shared" si="143"/>
        <v>MILWAUKEE</v>
      </c>
      <c r="B827" s="2" t="str">
        <f t="shared" si="144"/>
        <v>CITY OF MILWAUKEE</v>
      </c>
      <c r="C827" s="2" t="s">
        <v>2899</v>
      </c>
      <c r="D827" s="2" t="str">
        <f>CLEAN("1300-13-01")</f>
        <v>1300-13-01</v>
      </c>
      <c r="E827" s="3" t="str">
        <f>CLEAN("HOAN BRIDGE &amp; LAKE INTERCHANGE")</f>
        <v>HOAN BRIDGE &amp; LAKE INTERCHANGE</v>
      </c>
      <c r="F827" s="3" t="str">
        <f>CLEAN("LINCOLN MEMORIAL RAMPS")</f>
        <v>LINCOLN MEMORIAL RAMPS</v>
      </c>
      <c r="G827" s="3" t="str">
        <f>CLEAN("PE/INTERCHANGE MODIFICTION/BR REHAB")</f>
        <v>PE/INTERCHANGE MODIFICTION/BR REHAB</v>
      </c>
      <c r="H827" s="2" t="str">
        <f>CLEAN("IH  794")</f>
        <v>IH  794</v>
      </c>
      <c r="I827" s="2" t="str">
        <f t="shared" si="147"/>
        <v>303</v>
      </c>
    </row>
    <row r="828" spans="1:9" x14ac:dyDescent="0.35">
      <c r="A828" s="2" t="str">
        <f t="shared" si="143"/>
        <v>MILWAUKEE</v>
      </c>
      <c r="B828" s="2" t="str">
        <f t="shared" si="144"/>
        <v>CITY OF MILWAUKEE</v>
      </c>
      <c r="C828" s="2" t="s">
        <v>2898</v>
      </c>
      <c r="D828" s="2" t="str">
        <f>CLEAN("1300-13-02")</f>
        <v>1300-13-02</v>
      </c>
      <c r="E828" s="3" t="str">
        <f>CLEAN("HOAN BRIDGE &amp; LAKE INTERCHANGE")</f>
        <v>HOAN BRIDGE &amp; LAKE INTERCHANGE</v>
      </c>
      <c r="F828" s="3" t="str">
        <f>CLEAN("LINCOLN MEMORIAL DR &amp; LOCAL STREETS")</f>
        <v>LINCOLN MEMORIAL DR &amp; LOCAL STREETS</v>
      </c>
      <c r="G828" s="3" t="str">
        <f>CLEAN("PE/INTERCHANGE MODIFICATION")</f>
        <v>PE/INTERCHANGE MODIFICATION</v>
      </c>
      <c r="H828" s="2" t="str">
        <f>CLEAN("LOC STR")</f>
        <v>LOC STR</v>
      </c>
      <c r="I828" s="2" t="str">
        <f>CLEAN("304")</f>
        <v>304</v>
      </c>
    </row>
    <row r="829" spans="1:9" x14ac:dyDescent="0.35">
      <c r="A829" s="2" t="str">
        <f t="shared" si="143"/>
        <v>MILWAUKEE</v>
      </c>
      <c r="B829" s="2" t="str">
        <f t="shared" si="144"/>
        <v>CITY OF MILWAUKEE</v>
      </c>
      <c r="C829" s="2" t="s">
        <v>644</v>
      </c>
      <c r="D829" s="2" t="str">
        <f>CLEAN("1300-13-74")</f>
        <v>1300-13-74</v>
      </c>
      <c r="E829" s="3" t="str">
        <f>CLEAN("LAKEFRONT GATEWAY")</f>
        <v>LAKEFRONT GATEWAY</v>
      </c>
      <c r="F829" s="3" t="str">
        <f>CLEAN("IH-794 RAMPS AT LINCOLN MEMORIAL DR")</f>
        <v>IH-794 RAMPS AT LINCOLN MEMORIAL DR</v>
      </c>
      <c r="G829" s="3" t="str">
        <f>CLEAN("CONST/NEW BRIDGE")</f>
        <v>CONST/NEW BRIDGE</v>
      </c>
      <c r="H829" s="2" t="str">
        <f>CLEAN("IH  794")</f>
        <v>IH  794</v>
      </c>
      <c r="I829" s="2" t="str">
        <f>CLEAN("304")</f>
        <v>304</v>
      </c>
    </row>
    <row r="830" spans="1:9" x14ac:dyDescent="0.35">
      <c r="A830" s="2" t="str">
        <f t="shared" si="143"/>
        <v>MILWAUKEE</v>
      </c>
      <c r="B830" s="2" t="str">
        <f t="shared" si="144"/>
        <v>CITY OF MILWAUKEE</v>
      </c>
      <c r="C830" s="2" t="s">
        <v>1074</v>
      </c>
      <c r="D830" s="2" t="str">
        <f>CLEAN("1360-00-76")</f>
        <v>1360-00-76</v>
      </c>
      <c r="E830" s="3" t="str">
        <f>CLEAN("W FOND DU LAC AVENUE")</f>
        <v>W FOND DU LAC AVENUE</v>
      </c>
      <c r="F830" s="3" t="str">
        <f>CLEAN("6 HIGHWAY INTERSECTIONS")</f>
        <v>6 HIGHWAY INTERSECTIONS</v>
      </c>
      <c r="G830" s="3" t="str">
        <f>CLEAN("CONST/TRAFFIC SIGNALS")</f>
        <v>CONST/TRAFFIC SIGNALS</v>
      </c>
      <c r="H830" s="2" t="str">
        <f t="shared" ref="H830:H835" si="148">CLEAN("STH 145")</f>
        <v>STH 145</v>
      </c>
      <c r="I830" s="2" t="str">
        <f>CLEAN("305")</f>
        <v>305</v>
      </c>
    </row>
    <row r="831" spans="1:9" x14ac:dyDescent="0.35">
      <c r="A831" s="2" t="str">
        <f t="shared" si="143"/>
        <v>MILWAUKEE</v>
      </c>
      <c r="B831" s="2" t="str">
        <f t="shared" si="144"/>
        <v>CITY OF MILWAUKEE</v>
      </c>
      <c r="C831" s="2" t="s">
        <v>386</v>
      </c>
      <c r="D831" s="2" t="str">
        <f>CLEAN("1360-11-70")</f>
        <v>1360-11-70</v>
      </c>
      <c r="E831" s="3" t="str">
        <f>CLEAN("FOND DU LAC AVE (STH 145)")</f>
        <v>FOND DU LAC AVE (STH 145)</v>
      </c>
      <c r="F831" s="3" t="str">
        <f>CLEAN("GRANTOSA FLAGG/FLORIST BRIDGES")</f>
        <v>GRANTOSA FLAGG/FLORIST BRIDGES</v>
      </c>
      <c r="G831" s="3" t="str">
        <f>CLEAN("CONST/BRIDGE REHAB")</f>
        <v>CONST/BRIDGE REHAB</v>
      </c>
      <c r="H831" s="2" t="str">
        <f t="shared" si="148"/>
        <v>STH 145</v>
      </c>
      <c r="I831" s="2" t="str">
        <f>CLEAN("303")</f>
        <v>303</v>
      </c>
    </row>
    <row r="832" spans="1:9" x14ac:dyDescent="0.35">
      <c r="A832" s="2" t="str">
        <f t="shared" si="143"/>
        <v>MILWAUKEE</v>
      </c>
      <c r="B832" s="2" t="str">
        <f t="shared" si="144"/>
        <v>CITY OF MILWAUKEE</v>
      </c>
      <c r="C832" s="2" t="s">
        <v>364</v>
      </c>
      <c r="D832" s="2" t="str">
        <f>CLEAN("1360-12-70")</f>
        <v>1360-12-70</v>
      </c>
      <c r="E832" s="3" t="str">
        <f>CLEAN("C MILWAUKEE  FOND DU LAC AVE")</f>
        <v>C MILWAUKEE  FOND DU LAC AVE</v>
      </c>
      <c r="F832" s="3" t="str">
        <f>CLEAN("107TH ST BRIDGE")</f>
        <v>107TH ST BRIDGE</v>
      </c>
      <c r="G832" s="3" t="str">
        <f>CLEAN("CONST/B-40-252")</f>
        <v>CONST/B-40-252</v>
      </c>
      <c r="H832" s="2" t="str">
        <f t="shared" si="148"/>
        <v>STH 145</v>
      </c>
      <c r="I832" s="2" t="str">
        <f>CLEAN("303")</f>
        <v>303</v>
      </c>
    </row>
    <row r="833" spans="1:9" x14ac:dyDescent="0.35">
      <c r="A833" s="2" t="str">
        <f t="shared" si="143"/>
        <v>MILWAUKEE</v>
      </c>
      <c r="B833" s="2" t="str">
        <f t="shared" si="144"/>
        <v>CITY OF MILWAUKEE</v>
      </c>
      <c r="C833" s="2" t="s">
        <v>381</v>
      </c>
      <c r="D833" s="2" t="str">
        <f>CLEAN("1360-13-70")</f>
        <v>1360-13-70</v>
      </c>
      <c r="E833" s="3" t="str">
        <f>CLEAN("C MILWAUKEE  FOND DU LAC AVE")</f>
        <v>C MILWAUKEE  FOND DU LAC AVE</v>
      </c>
      <c r="F833" s="3" t="str">
        <f>CLEAN("76TH  PED BRIDGES")</f>
        <v>76TH  PED BRIDGES</v>
      </c>
      <c r="G833" s="3" t="str">
        <f>CLEAN("CONST/BRIDGE REHAB")</f>
        <v>CONST/BRIDGE REHAB</v>
      </c>
      <c r="H833" s="2" t="str">
        <f t="shared" si="148"/>
        <v>STH 145</v>
      </c>
      <c r="I833" s="2" t="str">
        <f>CLEAN("303")</f>
        <v>303</v>
      </c>
    </row>
    <row r="834" spans="1:9" x14ac:dyDescent="0.35">
      <c r="A834" s="2" t="str">
        <f t="shared" si="143"/>
        <v>MILWAUKEE</v>
      </c>
      <c r="B834" s="2" t="str">
        <f t="shared" si="144"/>
        <v>CITY OF MILWAUKEE</v>
      </c>
      <c r="C834" s="2" t="s">
        <v>391</v>
      </c>
      <c r="D834" s="2" t="str">
        <f>CLEAN("1360-13-71")</f>
        <v>1360-13-71</v>
      </c>
      <c r="E834" s="3" t="str">
        <f>CLEAN("C MILWAUKEE  FOND DU LAC AVE")</f>
        <v>C MILWAUKEE  FOND DU LAC AVE</v>
      </c>
      <c r="F834" s="3" t="str">
        <f>CLEAN("SILVER SPRING BRIDGES B40-253-4")</f>
        <v>SILVER SPRING BRIDGES B40-253-4</v>
      </c>
      <c r="G834" s="3" t="str">
        <f>CLEAN("CONST/BRIDGE REHAB")</f>
        <v>CONST/BRIDGE REHAB</v>
      </c>
      <c r="H834" s="2" t="str">
        <f t="shared" si="148"/>
        <v>STH 145</v>
      </c>
      <c r="I834" s="2" t="str">
        <f>CLEAN("303")</f>
        <v>303</v>
      </c>
    </row>
    <row r="835" spans="1:9" x14ac:dyDescent="0.35">
      <c r="A835" s="2" t="str">
        <f t="shared" si="143"/>
        <v>MILWAUKEE</v>
      </c>
      <c r="B835" s="2" t="str">
        <f t="shared" si="144"/>
        <v>CITY OF MILWAUKEE</v>
      </c>
      <c r="C835" s="2" t="s">
        <v>2749</v>
      </c>
      <c r="D835" s="2" t="str">
        <f>CLEAN("1360-14-00")</f>
        <v>1360-14-00</v>
      </c>
      <c r="E835" s="3" t="str">
        <f>CLEAN("C MILWAUKEE  W FOND DU LAC AVE")</f>
        <v>C MILWAUKEE  W FOND DU LAC AVE</v>
      </c>
      <c r="F835" s="3" t="str">
        <f>CLEAN("N 19TH ST TO N 12TH ST")</f>
        <v>N 19TH ST TO N 12TH ST</v>
      </c>
      <c r="G835" s="3" t="str">
        <f>CLEAN("PE/FULL PS&amp;E/PAVEMENT REPLACEMENT")</f>
        <v>PE/FULL PS&amp;E/PAVEMENT REPLACEMENT</v>
      </c>
      <c r="H835" s="2" t="str">
        <f t="shared" si="148"/>
        <v>STH 145</v>
      </c>
      <c r="I835" s="2" t="str">
        <f>CLEAN("303")</f>
        <v>303</v>
      </c>
    </row>
    <row r="836" spans="1:9" x14ac:dyDescent="0.35">
      <c r="A836" s="2" t="str">
        <f t="shared" si="143"/>
        <v>MILWAUKEE</v>
      </c>
      <c r="B836" s="2" t="str">
        <f t="shared" si="144"/>
        <v>CITY OF MILWAUKEE</v>
      </c>
      <c r="C836" s="2" t="s">
        <v>2583</v>
      </c>
      <c r="D836" s="2" t="str">
        <f>CLEAN("1693-06-80")</f>
        <v>1693-06-80</v>
      </c>
      <c r="E836" s="3" t="str">
        <f>CLEAN("CNG REFUSE PACKERS")</f>
        <v>CNG REFUSE PACKERS</v>
      </c>
      <c r="F836" s="3" t="str">
        <f>CLEAN("PH 1 33 REFUSE TRUCK CNG CONVERSION")</f>
        <v>PH 1 33 REFUSE TRUCK CNG CONVERSION</v>
      </c>
      <c r="G836" s="3" t="str">
        <f>CLEAN("MIS/REFUSE TRUCK CNG CONVERSION")</f>
        <v>MIS/REFUSE TRUCK CNG CONVERSION</v>
      </c>
      <c r="H836" s="2" t="str">
        <f>CLEAN("NON HWY")</f>
        <v>NON HWY</v>
      </c>
      <c r="I836" s="2" t="str">
        <f>CLEAN("211")</f>
        <v>211</v>
      </c>
    </row>
    <row r="837" spans="1:9" x14ac:dyDescent="0.35">
      <c r="A837" s="2" t="str">
        <f t="shared" si="143"/>
        <v>MILWAUKEE</v>
      </c>
      <c r="B837" s="2" t="str">
        <f t="shared" si="144"/>
        <v>CITY OF MILWAUKEE</v>
      </c>
      <c r="C837" s="2" t="s">
        <v>2584</v>
      </c>
      <c r="D837" s="2" t="str">
        <f>CLEAN("1693-06-81")</f>
        <v>1693-06-81</v>
      </c>
      <c r="E837" s="3" t="str">
        <f>CLEAN("CNG REFUSE PACKERS")</f>
        <v>CNG REFUSE PACKERS</v>
      </c>
      <c r="F837" s="3" t="str">
        <f>CLEAN("PH 2 33 REFUSE TRUCK CNG CONVERSION")</f>
        <v>PH 2 33 REFUSE TRUCK CNG CONVERSION</v>
      </c>
      <c r="G837" s="3" t="str">
        <f>CLEAN("MIS/REFUSE TRUCK CNG CONVERSION")</f>
        <v>MIS/REFUSE TRUCK CNG CONVERSION</v>
      </c>
      <c r="H837" s="2" t="str">
        <f>CLEAN("NON HWY")</f>
        <v>NON HWY</v>
      </c>
      <c r="I837" s="2" t="str">
        <f>CLEAN("211")</f>
        <v>211</v>
      </c>
    </row>
    <row r="838" spans="1:9" x14ac:dyDescent="0.35">
      <c r="A838" s="2" t="str">
        <f t="shared" si="143"/>
        <v>MILWAUKEE</v>
      </c>
      <c r="B838" s="2" t="str">
        <f t="shared" si="144"/>
        <v>CITY OF MILWAUKEE</v>
      </c>
      <c r="C838" s="2" t="s">
        <v>1080</v>
      </c>
      <c r="D838" s="2" t="str">
        <f>CLEAN("2025-01-92")</f>
        <v>2025-01-92</v>
      </c>
      <c r="E838" s="3" t="str">
        <f>CLEAN("WEST CAPITOL DRIVE (STH 190)")</f>
        <v>WEST CAPITOL DRIVE (STH 190)</v>
      </c>
      <c r="F838" s="3" t="str">
        <f>CLEAN("12 CONNECTING HWY INTERSECTIONS")</f>
        <v>12 CONNECTING HWY INTERSECTIONS</v>
      </c>
      <c r="G838" s="3" t="str">
        <f>CLEAN("CONST/TRAFFIC SIGNALS/FLASHERS")</f>
        <v>CONST/TRAFFIC SIGNALS/FLASHERS</v>
      </c>
      <c r="H838" s="2" t="str">
        <f>CLEAN("VAR HWY")</f>
        <v>VAR HWY</v>
      </c>
      <c r="I838" s="2" t="str">
        <f>CLEAN("305")</f>
        <v>305</v>
      </c>
    </row>
    <row r="839" spans="1:9" x14ac:dyDescent="0.35">
      <c r="A839" s="2" t="str">
        <f t="shared" si="143"/>
        <v>MILWAUKEE</v>
      </c>
      <c r="B839" s="2" t="str">
        <f t="shared" si="144"/>
        <v>CITY OF MILWAUKEE</v>
      </c>
      <c r="C839" s="2" t="s">
        <v>326</v>
      </c>
      <c r="D839" s="2" t="str">
        <f>CLEAN("2025-11-71")</f>
        <v>2025-11-71</v>
      </c>
      <c r="E839" s="3" t="str">
        <f>CLEAN("WEST CAPITOL DR  CITY OF MILWAUKEE")</f>
        <v>WEST CAPITOL DR  CITY OF MILWAUKEE</v>
      </c>
      <c r="F839" s="3" t="str">
        <f>CLEAN("NORTH MAYFAIR RD TO NORTH 84TH ST")</f>
        <v>NORTH MAYFAIR RD TO NORTH 84TH ST</v>
      </c>
      <c r="G839" s="3" t="str">
        <f>CLEAN("Const./Reconstruct")</f>
        <v>Const./Reconstruct</v>
      </c>
      <c r="H839" s="2" t="str">
        <f>CLEAN("STH 190")</f>
        <v>STH 190</v>
      </c>
      <c r="I839" s="2" t="str">
        <f>CLEAN("303")</f>
        <v>303</v>
      </c>
    </row>
    <row r="840" spans="1:9" x14ac:dyDescent="0.35">
      <c r="A840" s="2" t="str">
        <f t="shared" si="143"/>
        <v>MILWAUKEE</v>
      </c>
      <c r="B840" s="2" t="str">
        <f t="shared" si="144"/>
        <v>CITY OF MILWAUKEE</v>
      </c>
      <c r="C840" s="2" t="s">
        <v>2651</v>
      </c>
      <c r="D840" s="2" t="str">
        <f>CLEAN("2025-19-00")</f>
        <v>2025-19-00</v>
      </c>
      <c r="E840" s="3" t="str">
        <f>CLEAN("CAPITOL DRIVE  CITY OF MILWAUKEE")</f>
        <v>CAPITOL DRIVE  CITY OF MILWAUKEE</v>
      </c>
      <c r="F840" s="3" t="str">
        <f>CLEAN("PORT WASHINGTON RD IC B-40-0219")</f>
        <v>PORT WASHINGTON RD IC B-40-0219</v>
      </c>
      <c r="G840" s="3" t="str">
        <f>CLEAN("PE/BRIDGE REPLACEMENT")</f>
        <v>PE/BRIDGE REPLACEMENT</v>
      </c>
      <c r="H840" s="2" t="str">
        <f>CLEAN("STH 190")</f>
        <v>STH 190</v>
      </c>
      <c r="I840" s="2" t="str">
        <f>CLEAN("303")</f>
        <v>303</v>
      </c>
    </row>
    <row r="841" spans="1:9" x14ac:dyDescent="0.35">
      <c r="A841" s="2" t="str">
        <f t="shared" si="143"/>
        <v>MILWAUKEE</v>
      </c>
      <c r="B841" s="2" t="str">
        <f t="shared" si="144"/>
        <v>CITY OF MILWAUKEE</v>
      </c>
      <c r="C841" s="2" t="s">
        <v>954</v>
      </c>
      <c r="D841" s="2" t="str">
        <f>CLEAN("2030-09-70")</f>
        <v>2030-09-70</v>
      </c>
      <c r="E841" s="3" t="str">
        <f>CLEAN("MAYFAIR ROAD  CITY MILWAUKEE")</f>
        <v>MAYFAIR ROAD  CITY MILWAUKEE</v>
      </c>
      <c r="F841" s="3" t="str">
        <f>CLEAN("BURLEIGH ST TO SILVER SPRING DR")</f>
        <v>BURLEIGH ST TO SILVER SPRING DR</v>
      </c>
      <c r="G841" s="3" t="str">
        <f>CLEAN("CONST/RESURFACE")</f>
        <v>CONST/RESURFACE</v>
      </c>
      <c r="H841" s="2" t="str">
        <f>CLEAN("STH 100")</f>
        <v>STH 100</v>
      </c>
      <c r="I841" s="2" t="str">
        <f>CLEAN("303")</f>
        <v>303</v>
      </c>
    </row>
    <row r="842" spans="1:9" x14ac:dyDescent="0.35">
      <c r="A842" s="2" t="str">
        <f t="shared" ref="A842:A905" si="149">CLEAN("MILWAUKEE")</f>
        <v>MILWAUKEE</v>
      </c>
      <c r="B842" s="2" t="str">
        <f t="shared" ref="B842:B905" si="150">CLEAN("CITY OF MILWAUKEE")</f>
        <v>CITY OF MILWAUKEE</v>
      </c>
      <c r="C842" s="2" t="s">
        <v>949</v>
      </c>
      <c r="D842" s="2" t="str">
        <f>CLEAN("2030-09-71")</f>
        <v>2030-09-71</v>
      </c>
      <c r="E842" s="3" t="str">
        <f>CLEAN("SILVER SPRING DR  CITY MILWAUKEE")</f>
        <v>SILVER SPRING DR  CITY MILWAUKEE</v>
      </c>
      <c r="F842" s="3" t="str">
        <f>CLEAN("118TH CT TO MAYFAIR ROAD")</f>
        <v>118TH CT TO MAYFAIR ROAD</v>
      </c>
      <c r="G842" s="3" t="str">
        <f>CLEAN("CONST/RESURFACE")</f>
        <v>CONST/RESURFACE</v>
      </c>
      <c r="H842" s="2" t="str">
        <f>CLEAN("STH 100")</f>
        <v>STH 100</v>
      </c>
      <c r="I842" s="2" t="str">
        <f>CLEAN("303")</f>
        <v>303</v>
      </c>
    </row>
    <row r="843" spans="1:9" x14ac:dyDescent="0.35">
      <c r="A843" s="2" t="str">
        <f t="shared" si="149"/>
        <v>MILWAUKEE</v>
      </c>
      <c r="B843" s="2" t="str">
        <f t="shared" si="150"/>
        <v>CITY OF MILWAUKEE</v>
      </c>
      <c r="C843" s="2" t="s">
        <v>471</v>
      </c>
      <c r="D843" s="2" t="str">
        <f>CLEAN("2030-10-71")</f>
        <v>2030-10-71</v>
      </c>
      <c r="E843" s="3" t="str">
        <f>CLEAN("N MAYFAIR RD/N LOVERS LN")</f>
        <v>N MAYFAIR RD/N LOVERS LN</v>
      </c>
      <c r="F843" s="3" t="str">
        <f>CLEAN("W BURLEIGH ST TO W SILVER SPRING DR")</f>
        <v>W BURLEIGH ST TO W SILVER SPRING DR</v>
      </c>
      <c r="G843" s="3" t="str">
        <f>CLEAN("CONST/BRIDGE REPLACEMENT")</f>
        <v>CONST/BRIDGE REPLACEMENT</v>
      </c>
      <c r="H843" s="2" t="str">
        <f>CLEAN("STH 100")</f>
        <v>STH 100</v>
      </c>
      <c r="I843" s="2" t="str">
        <f>CLEAN("303")</f>
        <v>303</v>
      </c>
    </row>
    <row r="844" spans="1:9" x14ac:dyDescent="0.35">
      <c r="A844" s="2" t="str">
        <f t="shared" si="149"/>
        <v>MILWAUKEE</v>
      </c>
      <c r="B844" s="2" t="str">
        <f t="shared" si="150"/>
        <v>CITY OF MILWAUKEE</v>
      </c>
      <c r="C844" s="2" t="s">
        <v>2661</v>
      </c>
      <c r="D844" s="2" t="str">
        <f>CLEAN("2030-15-00")</f>
        <v>2030-15-00</v>
      </c>
      <c r="E844" s="3" t="str">
        <f>CLEAN("N LOVERS LANE ROAD")</f>
        <v>N LOVERS LANE ROAD</v>
      </c>
      <c r="F844" s="3" t="str">
        <f>CLEAN("BRIDGE OVER UP RR B-40-0435")</f>
        <v>BRIDGE OVER UP RR B-40-0435</v>
      </c>
      <c r="G844" s="3" t="str">
        <f>CLEAN("PE/DECK OVERLAY")</f>
        <v>PE/DECK OVERLAY</v>
      </c>
      <c r="H844" s="2" t="str">
        <f>CLEAN("LOC STR")</f>
        <v>LOC STR</v>
      </c>
      <c r="I844" s="2" t="str">
        <f>CLEAN("205")</f>
        <v>205</v>
      </c>
    </row>
    <row r="845" spans="1:9" x14ac:dyDescent="0.35">
      <c r="A845" s="2" t="str">
        <f t="shared" si="149"/>
        <v>MILWAUKEE</v>
      </c>
      <c r="B845" s="2" t="str">
        <f t="shared" si="150"/>
        <v>CITY OF MILWAUKEE</v>
      </c>
      <c r="C845" s="2" t="s">
        <v>545</v>
      </c>
      <c r="D845" s="2" t="str">
        <f>CLEAN("2030-15-70")</f>
        <v>2030-15-70</v>
      </c>
      <c r="E845" s="3" t="str">
        <f>CLEAN("N LOVERS LANE ROAD")</f>
        <v>N LOVERS LANE ROAD</v>
      </c>
      <c r="F845" s="3" t="str">
        <f>CLEAN("BRIDGE OVER UP RR B-40-0435")</f>
        <v>BRIDGE OVER UP RR B-40-0435</v>
      </c>
      <c r="G845" s="3" t="str">
        <f>CLEAN("CONST/DECK OVERLAY")</f>
        <v>CONST/DECK OVERLAY</v>
      </c>
      <c r="H845" s="2" t="str">
        <f>CLEAN("LOC STR")</f>
        <v>LOC STR</v>
      </c>
      <c r="I845" s="2" t="str">
        <f>CLEAN("205")</f>
        <v>205</v>
      </c>
    </row>
    <row r="846" spans="1:9" x14ac:dyDescent="0.35">
      <c r="A846" s="2" t="str">
        <f t="shared" si="149"/>
        <v>MILWAUKEE</v>
      </c>
      <c r="B846" s="2" t="str">
        <f t="shared" si="150"/>
        <v>CITY OF MILWAUKEE</v>
      </c>
      <c r="C846" s="2" t="s">
        <v>2956</v>
      </c>
      <c r="D846" s="2" t="str">
        <f>CLEAN("2060-00-06")</f>
        <v>2060-00-06</v>
      </c>
      <c r="E846" s="3" t="str">
        <f>CLEAN("S CHASE AVENUE  CITY OF MILWAUKEE")</f>
        <v>S CHASE AVENUE  CITY OF MILWAUKEE</v>
      </c>
      <c r="F846" s="3" t="str">
        <f>CLEAN("OHIO AVE TO LINCOLN AVE")</f>
        <v>OHIO AVE TO LINCOLN AVE</v>
      </c>
      <c r="G846" s="3" t="str">
        <f>CLEAN("PE/RECONSTRUCTION")</f>
        <v>PE/RECONSTRUCTION</v>
      </c>
      <c r="H846" s="2" t="str">
        <f>CLEAN("STH 038")</f>
        <v>STH 038</v>
      </c>
      <c r="I846" s="2" t="str">
        <f>CLEAN("303")</f>
        <v>303</v>
      </c>
    </row>
    <row r="847" spans="1:9" x14ac:dyDescent="0.35">
      <c r="A847" s="2" t="str">
        <f t="shared" si="149"/>
        <v>MILWAUKEE</v>
      </c>
      <c r="B847" s="2" t="str">
        <f t="shared" si="150"/>
        <v>CITY OF MILWAUKEE</v>
      </c>
      <c r="C847" s="2" t="s">
        <v>2602</v>
      </c>
      <c r="D847" s="2" t="str">
        <f>CLEAN("2060-10-00")</f>
        <v>2060-10-00</v>
      </c>
      <c r="E847" s="3" t="str">
        <f>CLEAN("Howell Ave - City Milwaukee")</f>
        <v>Howell Ave - City Milwaukee</v>
      </c>
      <c r="F847" s="3" t="str">
        <f>CLEAN("Grange Avenue to Layton Avenue")</f>
        <v>Grange Avenue to Layton Avenue</v>
      </c>
      <c r="G847" s="3" t="str">
        <f>CLEAN("P.E./Mill and Resurface")</f>
        <v>P.E./Mill and Resurface</v>
      </c>
      <c r="H847" s="2" t="str">
        <f>CLEAN("STH 038")</f>
        <v>STH 038</v>
      </c>
      <c r="I847" s="2" t="str">
        <f>CLEAN("303")</f>
        <v>303</v>
      </c>
    </row>
    <row r="848" spans="1:9" x14ac:dyDescent="0.35">
      <c r="A848" s="2" t="str">
        <f t="shared" si="149"/>
        <v>MILWAUKEE</v>
      </c>
      <c r="B848" s="2" t="str">
        <f t="shared" si="150"/>
        <v>CITY OF MILWAUKEE</v>
      </c>
      <c r="C848" s="2" t="s">
        <v>815</v>
      </c>
      <c r="D848" s="2" t="str">
        <f>CLEAN("2060-10-70")</f>
        <v>2060-10-70</v>
      </c>
      <c r="E848" s="3" t="str">
        <f>CLEAN("HOWELL AVE - CITY MILWAUKEE")</f>
        <v>HOWELL AVE - CITY MILWAUKEE</v>
      </c>
      <c r="F848" s="3" t="str">
        <f>CLEAN("GRANGE AVENUE TO LAYTON AVENUE")</f>
        <v>GRANGE AVENUE TO LAYTON AVENUE</v>
      </c>
      <c r="G848" s="3" t="str">
        <f>CLEAN("CONST/RECONSTRUCTION")</f>
        <v>CONST/RECONSTRUCTION</v>
      </c>
      <c r="H848" s="2" t="str">
        <f>CLEAN("STH 038")</f>
        <v>STH 038</v>
      </c>
      <c r="I848" s="2" t="str">
        <f>CLEAN("303")</f>
        <v>303</v>
      </c>
    </row>
    <row r="849" spans="1:9" x14ac:dyDescent="0.35">
      <c r="A849" s="2" t="str">
        <f t="shared" si="149"/>
        <v>MILWAUKEE</v>
      </c>
      <c r="B849" s="2" t="str">
        <f t="shared" si="150"/>
        <v>CITY OF MILWAUKEE</v>
      </c>
      <c r="C849" s="2" t="s">
        <v>2649</v>
      </c>
      <c r="D849" s="2" t="str">
        <f>CLEAN("2060-18-00")</f>
        <v>2060-18-00</v>
      </c>
      <c r="E849" s="3" t="str">
        <f>CLEAN("CHASE AVE  CITY OF MILWAUKEE")</f>
        <v>CHASE AVE  CITY OF MILWAUKEE</v>
      </c>
      <c r="F849" s="3" t="str">
        <f>CLEAN("BRIDGE OVER UP RR B40-571")</f>
        <v>BRIDGE OVER UP RR B40-571</v>
      </c>
      <c r="G849" s="3" t="str">
        <f>CLEAN("PE/BRIDGE REPLACEMENT")</f>
        <v>PE/BRIDGE REPLACEMENT</v>
      </c>
      <c r="H849" s="2" t="str">
        <f>CLEAN("STH 038")</f>
        <v>STH 038</v>
      </c>
      <c r="I849" s="2" t="str">
        <f>CLEAN("303")</f>
        <v>303</v>
      </c>
    </row>
    <row r="850" spans="1:9" x14ac:dyDescent="0.35">
      <c r="A850" s="2" t="str">
        <f t="shared" si="149"/>
        <v>MILWAUKEE</v>
      </c>
      <c r="B850" s="2" t="str">
        <f t="shared" si="150"/>
        <v>CITY OF MILWAUKEE</v>
      </c>
      <c r="C850" s="2" t="s">
        <v>981</v>
      </c>
      <c r="D850" s="2" t="str">
        <f>CLEAN("2060-20-70")</f>
        <v>2060-20-70</v>
      </c>
      <c r="E850" s="3" t="str">
        <f>CLEAN("RACINE - MILWAUKEE")</f>
        <v>RACINE - MILWAUKEE</v>
      </c>
      <c r="F850" s="3" t="str">
        <f>CLEAN("OAKWOOD RD TO GRANGE AVE")</f>
        <v>OAKWOOD RD TO GRANGE AVE</v>
      </c>
      <c r="G850" s="3" t="str">
        <f>CLEAN("CONST/RESURFACE")</f>
        <v>CONST/RESURFACE</v>
      </c>
      <c r="H850" s="2" t="str">
        <f>CLEAN("STH 038")</f>
        <v>STH 038</v>
      </c>
      <c r="I850" s="2" t="str">
        <f>CLEAN("303")</f>
        <v>303</v>
      </c>
    </row>
    <row r="851" spans="1:9" x14ac:dyDescent="0.35">
      <c r="A851" s="2" t="str">
        <f t="shared" si="149"/>
        <v>MILWAUKEE</v>
      </c>
      <c r="B851" s="2" t="str">
        <f t="shared" si="150"/>
        <v>CITY OF MILWAUKEE</v>
      </c>
      <c r="C851" s="2" t="s">
        <v>808</v>
      </c>
      <c r="D851" s="2" t="str">
        <f>CLEAN("2080-00-72")</f>
        <v>2080-00-72</v>
      </c>
      <c r="E851" s="3" t="str">
        <f>CLEAN("NORTH TEUTONIA AVENUE")</f>
        <v>NORTH TEUTONIA AVENUE</v>
      </c>
      <c r="F851" s="3" t="str">
        <f>CLEAN("W GROELING AVE TO W CAPITOL DR")</f>
        <v>W GROELING AVE TO W CAPITOL DR</v>
      </c>
      <c r="G851" s="3" t="str">
        <f>CLEAN("CONST/RECONSTRUCT W/NO ADDL LANES")</f>
        <v>CONST/RECONSTRUCT W/NO ADDL LANES</v>
      </c>
      <c r="H851" s="2" t="str">
        <f t="shared" ref="H851:H858" si="151">CLEAN("LOC STR")</f>
        <v>LOC STR</v>
      </c>
      <c r="I851" s="2" t="str">
        <f>CLEAN("206")</f>
        <v>206</v>
      </c>
    </row>
    <row r="852" spans="1:9" x14ac:dyDescent="0.35">
      <c r="A852" s="2" t="str">
        <f t="shared" si="149"/>
        <v>MILWAUKEE</v>
      </c>
      <c r="B852" s="2" t="str">
        <f t="shared" si="150"/>
        <v>CITY OF MILWAUKEE</v>
      </c>
      <c r="C852" s="2" t="s">
        <v>2892</v>
      </c>
      <c r="D852" s="2" t="str">
        <f>CLEAN("2090-16-00")</f>
        <v>2090-16-00</v>
      </c>
      <c r="E852" s="3" t="str">
        <f>CLEAN("W SILVER SPRING DRIVE")</f>
        <v>W SILVER SPRING DRIVE</v>
      </c>
      <c r="F852" s="3" t="str">
        <f>CLEAN("6 LOCAL INTERSECTIONS")</f>
        <v>6 LOCAL INTERSECTIONS</v>
      </c>
      <c r="G852" s="3" t="str">
        <f>CLEAN("PE/HSIP TRAFFIC SIGNAL/FLASHERS")</f>
        <v>PE/HSIP TRAFFIC SIGNAL/FLASHERS</v>
      </c>
      <c r="H852" s="2" t="str">
        <f t="shared" si="151"/>
        <v>LOC STR</v>
      </c>
      <c r="I852" s="2" t="str">
        <f>CLEAN("206")</f>
        <v>206</v>
      </c>
    </row>
    <row r="853" spans="1:9" x14ac:dyDescent="0.35">
      <c r="A853" s="2" t="str">
        <f t="shared" si="149"/>
        <v>MILWAUKEE</v>
      </c>
      <c r="B853" s="2" t="str">
        <f t="shared" si="150"/>
        <v>CITY OF MILWAUKEE</v>
      </c>
      <c r="C853" s="2" t="s">
        <v>570</v>
      </c>
      <c r="D853" s="2" t="str">
        <f>CLEAN("2090-16-70")</f>
        <v>2090-16-70</v>
      </c>
      <c r="E853" s="3" t="str">
        <f>CLEAN("C MILWAUKEE W SILVER SPRING DRIVE")</f>
        <v>C MILWAUKEE W SILVER SPRING DRIVE</v>
      </c>
      <c r="F853" s="3" t="str">
        <f>CLEAN("6 LOCAL INTERSECTIONS")</f>
        <v>6 LOCAL INTERSECTIONS</v>
      </c>
      <c r="G853" s="3" t="str">
        <f>CLEAN("CONST/HSIP TRAFFIC SIGNAL/FLASHERS")</f>
        <v>CONST/HSIP TRAFFIC SIGNAL/FLASHERS</v>
      </c>
      <c r="H853" s="2" t="str">
        <f t="shared" si="151"/>
        <v>LOC STR</v>
      </c>
      <c r="I853" s="2" t="str">
        <f>CLEAN("206")</f>
        <v>206</v>
      </c>
    </row>
    <row r="854" spans="1:9" x14ac:dyDescent="0.35">
      <c r="A854" s="2" t="str">
        <f t="shared" si="149"/>
        <v>MILWAUKEE</v>
      </c>
      <c r="B854" s="2" t="str">
        <f t="shared" si="150"/>
        <v>CITY OF MILWAUKEE</v>
      </c>
      <c r="C854" s="2" t="s">
        <v>2636</v>
      </c>
      <c r="D854" s="2" t="str">
        <f>CLEAN("2100-00-00")</f>
        <v>2100-00-00</v>
      </c>
      <c r="E854" s="3" t="str">
        <f>CLEAN("SOUTH 35TH STREET")</f>
        <v>SOUTH 35TH STREET</v>
      </c>
      <c r="F854" s="3" t="str">
        <f>CLEAN("BRIDGE OVER KINNICKINNIC RIVER")</f>
        <v>BRIDGE OVER KINNICKINNIC RIVER</v>
      </c>
      <c r="G854" s="3" t="str">
        <f>CLEAN("PE/BRIDGE REHAB P-40-0511")</f>
        <v>PE/BRIDGE REHAB P-40-0511</v>
      </c>
      <c r="H854" s="2" t="str">
        <f t="shared" si="151"/>
        <v>LOC STR</v>
      </c>
      <c r="I854" s="2" t="str">
        <f>CLEAN("205")</f>
        <v>205</v>
      </c>
    </row>
    <row r="855" spans="1:9" x14ac:dyDescent="0.35">
      <c r="A855" s="2" t="str">
        <f t="shared" si="149"/>
        <v>MILWAUKEE</v>
      </c>
      <c r="B855" s="2" t="str">
        <f t="shared" si="150"/>
        <v>CITY OF MILWAUKEE</v>
      </c>
      <c r="C855" s="2" t="s">
        <v>393</v>
      </c>
      <c r="D855" s="2" t="str">
        <f>CLEAN("2100-00-70")</f>
        <v>2100-00-70</v>
      </c>
      <c r="E855" s="3" t="str">
        <f>CLEAN("SOUTH 35TH STREET")</f>
        <v>SOUTH 35TH STREET</v>
      </c>
      <c r="F855" s="3" t="str">
        <f>CLEAN("BRIDGE OVER KINNICKINNIC RIVER")</f>
        <v>BRIDGE OVER KINNICKINNIC RIVER</v>
      </c>
      <c r="G855" s="3" t="str">
        <f>CLEAN("CONST/BRIDGE REHAB P-40-0511")</f>
        <v>CONST/BRIDGE REHAB P-40-0511</v>
      </c>
      <c r="H855" s="2" t="str">
        <f t="shared" si="151"/>
        <v>LOC STR</v>
      </c>
      <c r="I855" s="2" t="str">
        <f>CLEAN("205")</f>
        <v>205</v>
      </c>
    </row>
    <row r="856" spans="1:9" x14ac:dyDescent="0.35">
      <c r="A856" s="2" t="str">
        <f t="shared" si="149"/>
        <v>MILWAUKEE</v>
      </c>
      <c r="B856" s="2" t="str">
        <f t="shared" si="150"/>
        <v>CITY OF MILWAUKEE</v>
      </c>
      <c r="C856" s="2" t="s">
        <v>2991</v>
      </c>
      <c r="D856" s="2" t="str">
        <f>CLEAN("2109-02-00")</f>
        <v>2109-02-00</v>
      </c>
      <c r="E856" s="3" t="str">
        <f>CLEAN("C MILWAUKEE  S LINCOLN MEMORIAL DR")</f>
        <v>C MILWAUKEE  S LINCOLN MEMORIAL DR</v>
      </c>
      <c r="F856" s="3" t="str">
        <f>CLEAN("JONES ST TO S CARFERRY DR")</f>
        <v>JONES ST TO S CARFERRY DR</v>
      </c>
      <c r="G856" s="3" t="str">
        <f>CLEAN("PE/STATE REVIEW ONLY")</f>
        <v>PE/STATE REVIEW ONLY</v>
      </c>
      <c r="H856" s="2" t="str">
        <f t="shared" si="151"/>
        <v>LOC STR</v>
      </c>
      <c r="I856" s="2" t="str">
        <f>CLEAN("206")</f>
        <v>206</v>
      </c>
    </row>
    <row r="857" spans="1:9" x14ac:dyDescent="0.35">
      <c r="A857" s="2" t="str">
        <f t="shared" si="149"/>
        <v>MILWAUKEE</v>
      </c>
      <c r="B857" s="2" t="str">
        <f t="shared" si="150"/>
        <v>CITY OF MILWAUKEE</v>
      </c>
      <c r="C857" s="2" t="s">
        <v>750</v>
      </c>
      <c r="D857" s="2" t="str">
        <f>CLEAN("2109-02-70")</f>
        <v>2109-02-70</v>
      </c>
      <c r="E857" s="3" t="str">
        <f>CLEAN("C MILWAUKEE  S LINCOLN MEMORIAL DR")</f>
        <v>C MILWAUKEE  S LINCOLN MEMORIAL DR</v>
      </c>
      <c r="F857" s="3" t="str">
        <f>CLEAN("JONES ST TO S CARFERRY DR")</f>
        <v>JONES ST TO S CARFERRY DR</v>
      </c>
      <c r="G857" s="3" t="str">
        <f>CLEAN("CONST/RECONST")</f>
        <v>CONST/RECONST</v>
      </c>
      <c r="H857" s="2" t="str">
        <f t="shared" si="151"/>
        <v>LOC STR</v>
      </c>
      <c r="I857" s="2" t="str">
        <f>CLEAN("206")</f>
        <v>206</v>
      </c>
    </row>
    <row r="858" spans="1:9" x14ac:dyDescent="0.35">
      <c r="A858" s="2" t="str">
        <f t="shared" si="149"/>
        <v>MILWAUKEE</v>
      </c>
      <c r="B858" s="2" t="str">
        <f t="shared" si="150"/>
        <v>CITY OF MILWAUKEE</v>
      </c>
      <c r="C858" s="2" t="s">
        <v>575</v>
      </c>
      <c r="D858" s="2" t="str">
        <f>CLEAN("2110-00-72")</f>
        <v>2110-00-72</v>
      </c>
      <c r="E858" s="3" t="str">
        <f>CLEAN("W LINCOLN AVE")</f>
        <v>W LINCOLN AVE</v>
      </c>
      <c r="F858" s="3" t="str">
        <f>CLEAN("INTERSECT WITH 43RD ST &amp; 27TH ST")</f>
        <v>INTERSECT WITH 43RD ST &amp; 27TH ST</v>
      </c>
      <c r="G858" s="3" t="str">
        <f>CLEAN("CONST/HSIP/TRAFFIC SIGNALS")</f>
        <v>CONST/HSIP/TRAFFIC SIGNALS</v>
      </c>
      <c r="H858" s="2" t="str">
        <f t="shared" si="151"/>
        <v>LOC STR</v>
      </c>
      <c r="I858" s="2" t="str">
        <f>CLEAN("206")</f>
        <v>206</v>
      </c>
    </row>
    <row r="859" spans="1:9" x14ac:dyDescent="0.35">
      <c r="A859" s="2" t="str">
        <f t="shared" si="149"/>
        <v>MILWAUKEE</v>
      </c>
      <c r="B859" s="2" t="str">
        <f t="shared" si="150"/>
        <v>CITY OF MILWAUKEE</v>
      </c>
      <c r="C859" s="2" t="s">
        <v>1005</v>
      </c>
      <c r="D859" s="2" t="str">
        <f>CLEAN("2120-14-70")</f>
        <v>2120-14-70</v>
      </c>
      <c r="E859" s="3" t="str">
        <f>CLEAN("W FOREST HOME AVENUE (STH 24)")</f>
        <v>W FOREST HOME AVENUE (STH 24)</v>
      </c>
      <c r="F859" s="3" t="str">
        <f>CLEAN("USH 45 TO 45TH STREET")</f>
        <v>USH 45 TO 45TH STREET</v>
      </c>
      <c r="G859" s="3" t="str">
        <f>CLEAN("CONST/RESURFACING")</f>
        <v>CONST/RESURFACING</v>
      </c>
      <c r="H859" s="2" t="str">
        <f>CLEAN("STH 024")</f>
        <v>STH 024</v>
      </c>
      <c r="I859" s="2" t="str">
        <f>CLEAN("303")</f>
        <v>303</v>
      </c>
    </row>
    <row r="860" spans="1:9" x14ac:dyDescent="0.35">
      <c r="A860" s="2" t="str">
        <f t="shared" si="149"/>
        <v>MILWAUKEE</v>
      </c>
      <c r="B860" s="2" t="str">
        <f t="shared" si="150"/>
        <v>CITY OF MILWAUKEE</v>
      </c>
      <c r="C860" s="2" t="s">
        <v>3020</v>
      </c>
      <c r="D860" s="2" t="str">
        <f>CLEAN("2120-17-00")</f>
        <v>2120-17-00</v>
      </c>
      <c r="E860" s="3" t="str">
        <f>CLEAN("W FOREST HOME/ S 27TH ST(STH24/241)")</f>
        <v>W FOREST HOME/ S 27TH ST(STH24/241)</v>
      </c>
      <c r="F860" s="3" t="str">
        <f>CLEAN("6 CONNECTING HIGHWAYS")</f>
        <v>6 CONNECTING HIGHWAYS</v>
      </c>
      <c r="G860" s="3" t="str">
        <f>CLEAN("PE/TRAFFIC SIGNALS")</f>
        <v>PE/TRAFFIC SIGNALS</v>
      </c>
      <c r="H860" s="2" t="str">
        <f>CLEAN("STH 024")</f>
        <v>STH 024</v>
      </c>
      <c r="I860" s="2" t="str">
        <f>CLEAN("305")</f>
        <v>305</v>
      </c>
    </row>
    <row r="861" spans="1:9" x14ac:dyDescent="0.35">
      <c r="A861" s="2" t="str">
        <f t="shared" si="149"/>
        <v>MILWAUKEE</v>
      </c>
      <c r="B861" s="2" t="str">
        <f t="shared" si="150"/>
        <v>CITY OF MILWAUKEE</v>
      </c>
      <c r="C861" s="2" t="s">
        <v>1073</v>
      </c>
      <c r="D861" s="2" t="str">
        <f>CLEAN("2120-17-70")</f>
        <v>2120-17-70</v>
      </c>
      <c r="E861" s="3" t="str">
        <f>CLEAN("W FOREST HOME/S 27TH ST(STH24/241)")</f>
        <v>W FOREST HOME/S 27TH ST(STH24/241)</v>
      </c>
      <c r="F861" s="3" t="str">
        <f>CLEAN("6 CONNECTING HIGHWAYS")</f>
        <v>6 CONNECTING HIGHWAYS</v>
      </c>
      <c r="G861" s="3" t="str">
        <f>CLEAN("CONST/TRAFFIC SIGNALS")</f>
        <v>CONST/TRAFFIC SIGNALS</v>
      </c>
      <c r="H861" s="2" t="str">
        <f>CLEAN("STH 024")</f>
        <v>STH 024</v>
      </c>
      <c r="I861" s="2" t="str">
        <f>CLEAN("305")</f>
        <v>305</v>
      </c>
    </row>
    <row r="862" spans="1:9" x14ac:dyDescent="0.35">
      <c r="A862" s="2" t="str">
        <f t="shared" si="149"/>
        <v>MILWAUKEE</v>
      </c>
      <c r="B862" s="2" t="str">
        <f t="shared" si="150"/>
        <v>CITY OF MILWAUKEE</v>
      </c>
      <c r="C862" s="2" t="s">
        <v>3362</v>
      </c>
      <c r="D862" s="2" t="str">
        <f>CLEAN("2120-17-90")</f>
        <v>2120-17-90</v>
      </c>
      <c r="E862" s="3" t="str">
        <f>CLEAN("W FOREST HOME AV/27TH ST(STH24/241)")</f>
        <v>W FOREST HOME AV/27TH ST(STH24/241)</v>
      </c>
      <c r="F862" s="3" t="str">
        <f>CLEAN("6 CONNECTING HIGHWAYS")</f>
        <v>6 CONNECTING HIGHWAYS</v>
      </c>
      <c r="G862" s="3" t="str">
        <f>CLEAN("TRAFFIC/TRAFFIC SIGNALS")</f>
        <v>TRAFFIC/TRAFFIC SIGNALS</v>
      </c>
      <c r="H862" s="2" t="str">
        <f>CLEAN("STH 024")</f>
        <v>STH 024</v>
      </c>
      <c r="I862" s="2" t="str">
        <f>CLEAN("305")</f>
        <v>305</v>
      </c>
    </row>
    <row r="863" spans="1:9" x14ac:dyDescent="0.35">
      <c r="A863" s="2" t="str">
        <f t="shared" si="149"/>
        <v>MILWAUKEE</v>
      </c>
      <c r="B863" s="2" t="str">
        <f t="shared" si="150"/>
        <v>CITY OF MILWAUKEE</v>
      </c>
      <c r="C863" s="2" t="s">
        <v>996</v>
      </c>
      <c r="D863" s="2" t="str">
        <f>CLEAN("2120-18-70")</f>
        <v>2120-18-70</v>
      </c>
      <c r="E863" s="3" t="str">
        <f>CLEAN("HALES CORNERS - MILWAUKEE")</f>
        <v>HALES CORNERS - MILWAUKEE</v>
      </c>
      <c r="F863" s="3" t="str">
        <f>CLEAN("USH 45 TO 45TH STREET")</f>
        <v>USH 45 TO 45TH STREET</v>
      </c>
      <c r="G863" s="3" t="str">
        <f>CLEAN("CONST/RESURFACE")</f>
        <v>CONST/RESURFACE</v>
      </c>
      <c r="H863" s="2" t="str">
        <f>CLEAN("STH 024")</f>
        <v>STH 024</v>
      </c>
      <c r="I863" s="2" t="str">
        <f>CLEAN("303")</f>
        <v>303</v>
      </c>
    </row>
    <row r="864" spans="1:9" x14ac:dyDescent="0.35">
      <c r="A864" s="2" t="str">
        <f t="shared" si="149"/>
        <v>MILWAUKEE</v>
      </c>
      <c r="B864" s="2" t="str">
        <f t="shared" si="150"/>
        <v>CITY OF MILWAUKEE</v>
      </c>
      <c r="C864" s="2" t="s">
        <v>965</v>
      </c>
      <c r="D864" s="2" t="str">
        <f>CLEAN("2140-14-70")</f>
        <v>2140-14-70</v>
      </c>
      <c r="E864" s="3" t="str">
        <f>CLEAN("C MILWAUKEE 76TH STREET")</f>
        <v>C MILWAUKEE 76TH STREET</v>
      </c>
      <c r="F864" s="3" t="str">
        <f>CLEAN("FLORIST AVE TO CTH Q")</f>
        <v>FLORIST AVE TO CTH Q</v>
      </c>
      <c r="G864" s="3" t="str">
        <f>CLEAN("CONST/RESURFACE")</f>
        <v>CONST/RESURFACE</v>
      </c>
      <c r="H864" s="2" t="str">
        <f>CLEAN("STH 181")</f>
        <v>STH 181</v>
      </c>
      <c r="I864" s="2" t="str">
        <f>CLEAN("303")</f>
        <v>303</v>
      </c>
    </row>
    <row r="865" spans="1:9" x14ac:dyDescent="0.35">
      <c r="A865" s="2" t="str">
        <f t="shared" si="149"/>
        <v>MILWAUKEE</v>
      </c>
      <c r="B865" s="2" t="str">
        <f t="shared" si="150"/>
        <v>CITY OF MILWAUKEE</v>
      </c>
      <c r="C865" s="2" t="s">
        <v>1003</v>
      </c>
      <c r="D865" s="2" t="str">
        <f>CLEAN("2150-00-71")</f>
        <v>2150-00-71</v>
      </c>
      <c r="E865" s="3" t="str">
        <f>CLEAN("BROWN DEER RD C MILW &amp; V BRWN DEER")</f>
        <v>BROWN DEER RD C MILW &amp; V BRWN DEER</v>
      </c>
      <c r="F865" s="3" t="str">
        <f>CLEAN("91ST STREET TO DEERBROOK TRAIL")</f>
        <v>91ST STREET TO DEERBROOK TRAIL</v>
      </c>
      <c r="G865" s="3" t="str">
        <f>CLEAN("CONST/RESURFACING")</f>
        <v>CONST/RESURFACING</v>
      </c>
      <c r="H865" s="2" t="str">
        <f>CLEAN("STH 100")</f>
        <v>STH 100</v>
      </c>
      <c r="I865" s="2" t="str">
        <f>CLEAN("303")</f>
        <v>303</v>
      </c>
    </row>
    <row r="866" spans="1:9" x14ac:dyDescent="0.35">
      <c r="A866" s="2" t="str">
        <f t="shared" si="149"/>
        <v>MILWAUKEE</v>
      </c>
      <c r="B866" s="2" t="str">
        <f t="shared" si="150"/>
        <v>CITY OF MILWAUKEE</v>
      </c>
      <c r="C866" s="2" t="s">
        <v>3059</v>
      </c>
      <c r="D866" s="2" t="str">
        <f>CLEAN("2155-05-00")</f>
        <v>2155-05-00</v>
      </c>
      <c r="E866" s="3" t="str">
        <f>CLEAN("N SHERMAN BLVD")</f>
        <v>N SHERMAN BLVD</v>
      </c>
      <c r="F866" s="3" t="str">
        <f>CLEAN("7 LOCAL STREET INTERSECTIONS")</f>
        <v>7 LOCAL STREET INTERSECTIONS</v>
      </c>
      <c r="G866" s="3" t="str">
        <f>CLEAN("PE-FULL PSE W/LFA-SIGNAL UPDATE")</f>
        <v>PE-FULL PSE W/LFA-SIGNAL UPDATE</v>
      </c>
      <c r="H866" s="2" t="str">
        <f>CLEAN("LOC STR")</f>
        <v>LOC STR</v>
      </c>
      <c r="I866" s="2" t="str">
        <f>CLEAN("206")</f>
        <v>206</v>
      </c>
    </row>
    <row r="867" spans="1:9" x14ac:dyDescent="0.35">
      <c r="A867" s="2" t="str">
        <f t="shared" si="149"/>
        <v>MILWAUKEE</v>
      </c>
      <c r="B867" s="2" t="str">
        <f t="shared" si="150"/>
        <v>CITY OF MILWAUKEE</v>
      </c>
      <c r="C867" s="2" t="s">
        <v>2678</v>
      </c>
      <c r="D867" s="2" t="str">
        <f>CLEAN("2165-03-00")</f>
        <v>2165-03-00</v>
      </c>
      <c r="E867" s="3" t="str">
        <f>CLEAN("C WAUWATOSA/MILWAUKEE GLENVIEW 84TH")</f>
        <v>C WAUWATOSA/MILWAUKEE GLENVIEW 84TH</v>
      </c>
      <c r="F867" s="3" t="str">
        <f>CLEAN("HONEY CREEK-0.1 MILE S BLUEMOUND RD")</f>
        <v>HONEY CREEK-0.1 MILE S BLUEMOUND RD</v>
      </c>
      <c r="G867" s="3" t="str">
        <f>CLEAN("PE/FULL PS &amp; E ROW/RSRF25")</f>
        <v>PE/FULL PS &amp; E ROW/RSRF25</v>
      </c>
      <c r="H867" s="2" t="str">
        <f>CLEAN("STH 181")</f>
        <v>STH 181</v>
      </c>
      <c r="I867" s="2" t="str">
        <f>CLEAN("303")</f>
        <v>303</v>
      </c>
    </row>
    <row r="868" spans="1:9" x14ac:dyDescent="0.35">
      <c r="A868" s="2" t="str">
        <f t="shared" si="149"/>
        <v>MILWAUKEE</v>
      </c>
      <c r="B868" s="2" t="str">
        <f t="shared" si="150"/>
        <v>CITY OF MILWAUKEE</v>
      </c>
      <c r="C868" s="2" t="s">
        <v>2761</v>
      </c>
      <c r="D868" s="2" t="str">
        <f>CLEAN("2165-05-00")</f>
        <v>2165-05-00</v>
      </c>
      <c r="E868" s="3" t="str">
        <f>CLEAN("C WEST ALLIS/MILWAUKEE  S 84TH ST")</f>
        <v>C WEST ALLIS/MILWAUKEE  S 84TH ST</v>
      </c>
      <c r="F868" s="3" t="str">
        <f>CLEAN("W GREENFIELD AVE TO W ADLER AVE")</f>
        <v>W GREENFIELD AVE TO W ADLER AVE</v>
      </c>
      <c r="G868" s="3" t="str">
        <f>CLEAN("PE/FULL PS&amp;E/PVRPLA")</f>
        <v>PE/FULL PS&amp;E/PVRPLA</v>
      </c>
      <c r="H868" s="2" t="str">
        <f>CLEAN("STH 181")</f>
        <v>STH 181</v>
      </c>
      <c r="I868" s="2" t="str">
        <f>CLEAN("303")</f>
        <v>303</v>
      </c>
    </row>
    <row r="869" spans="1:9" x14ac:dyDescent="0.35">
      <c r="A869" s="2" t="str">
        <f t="shared" si="149"/>
        <v>MILWAUKEE</v>
      </c>
      <c r="B869" s="2" t="str">
        <f t="shared" si="150"/>
        <v>CITY OF MILWAUKEE</v>
      </c>
      <c r="C869" s="2" t="s">
        <v>2955</v>
      </c>
      <c r="D869" s="2" t="str">
        <f>CLEAN("2190-00-00")</f>
        <v>2190-00-00</v>
      </c>
      <c r="E869" s="3" t="str">
        <f>CLEAN("WEST WISCONSIN AVENUE")</f>
        <v>WEST WISCONSIN AVENUE</v>
      </c>
      <c r="F869" s="3" t="str">
        <f>CLEAN("N 35TH STREET - N 20TH STREET")</f>
        <v>N 35TH STREET - N 20TH STREET</v>
      </c>
      <c r="G869" s="3" t="str">
        <f>CLEAN("PE/RECONSTRUCTION")</f>
        <v>PE/RECONSTRUCTION</v>
      </c>
      <c r="H869" s="2" t="str">
        <f>CLEAN("LOC STR")</f>
        <v>LOC STR</v>
      </c>
      <c r="I869" s="2" t="str">
        <f>CLEAN("206")</f>
        <v>206</v>
      </c>
    </row>
    <row r="870" spans="1:9" x14ac:dyDescent="0.35">
      <c r="A870" s="2" t="str">
        <f t="shared" si="149"/>
        <v>MILWAUKEE</v>
      </c>
      <c r="B870" s="2" t="str">
        <f t="shared" si="150"/>
        <v>CITY OF MILWAUKEE</v>
      </c>
      <c r="C870" s="2" t="s">
        <v>2949</v>
      </c>
      <c r="D870" s="2" t="str">
        <f>CLEAN("2190-00-01")</f>
        <v>2190-00-01</v>
      </c>
      <c r="E870" s="3" t="str">
        <f>CLEAN("W WISCONSIN AVE  CITY OF MILWAUKEE")</f>
        <v>W WISCONSIN AVE  CITY OF MILWAUKEE</v>
      </c>
      <c r="F870" s="3" t="str">
        <f>CLEAN("N 38TH ST TO N 35TH ST")</f>
        <v>N 38TH ST TO N 35TH ST</v>
      </c>
      <c r="G870" s="3" t="str">
        <f>CLEAN("PE/RECONSTRUCT W NO ADDL LANES")</f>
        <v>PE/RECONSTRUCT W NO ADDL LANES</v>
      </c>
      <c r="H870" s="2" t="str">
        <f>CLEAN("USH 018")</f>
        <v>USH 018</v>
      </c>
      <c r="I870" s="2" t="str">
        <f>CLEAN("303")</f>
        <v>303</v>
      </c>
    </row>
    <row r="871" spans="1:9" x14ac:dyDescent="0.35">
      <c r="A871" s="2" t="str">
        <f t="shared" si="149"/>
        <v>MILWAUKEE</v>
      </c>
      <c r="B871" s="2" t="str">
        <f t="shared" si="150"/>
        <v>CITY OF MILWAUKEE</v>
      </c>
      <c r="C871" s="2" t="s">
        <v>15</v>
      </c>
      <c r="D871" s="2" t="str">
        <f>CLEAN("2190-06-71")</f>
        <v>2190-06-71</v>
      </c>
      <c r="E871" s="3" t="str">
        <f>CLEAN("BIKE SHARE PHASE 1")</f>
        <v>BIKE SHARE PHASE 1</v>
      </c>
      <c r="F871" s="3" t="str">
        <f>CLEAN("PROCUREMENT OF EQUIPMENT")</f>
        <v>PROCUREMENT OF EQUIPMENT</v>
      </c>
      <c r="G871" s="3" t="str">
        <f>CLEAN("BIKE SHARE EQUIPMENT")</f>
        <v>BIKE SHARE EQUIPMENT</v>
      </c>
      <c r="H871" s="2" t="str">
        <f>CLEAN("NON HWY")</f>
        <v>NON HWY</v>
      </c>
      <c r="I871" s="2" t="str">
        <f>CLEAN("211")</f>
        <v>211</v>
      </c>
    </row>
    <row r="872" spans="1:9" x14ac:dyDescent="0.35">
      <c r="A872" s="2" t="str">
        <f t="shared" si="149"/>
        <v>MILWAUKEE</v>
      </c>
      <c r="B872" s="2" t="str">
        <f t="shared" si="150"/>
        <v>CITY OF MILWAUKEE</v>
      </c>
      <c r="C872" s="2" t="s">
        <v>678</v>
      </c>
      <c r="D872" s="2" t="str">
        <f>CLEAN("2190-06-74")</f>
        <v>2190-06-74</v>
      </c>
      <c r="E872" s="3" t="str">
        <f>CLEAN("BIKE SHARE PHASE 2")</f>
        <v>BIKE SHARE PHASE 2</v>
      </c>
      <c r="F872" s="3" t="str">
        <f>CLEAN("26 STATIONS  VAR LOCATIONS C OF MKE")</f>
        <v>26 STATIONS  VAR LOCATIONS C OF MKE</v>
      </c>
      <c r="G872" s="3" t="str">
        <f>CLEAN("CONST/PED BIKE FACILITIES")</f>
        <v>CONST/PED BIKE FACILITIES</v>
      </c>
      <c r="H872" s="2" t="str">
        <f>CLEAN("NON HWY")</f>
        <v>NON HWY</v>
      </c>
      <c r="I872" s="2" t="str">
        <f>CLEAN("211")</f>
        <v>211</v>
      </c>
    </row>
    <row r="873" spans="1:9" x14ac:dyDescent="0.35">
      <c r="A873" s="2" t="str">
        <f t="shared" si="149"/>
        <v>MILWAUKEE</v>
      </c>
      <c r="B873" s="2" t="str">
        <f t="shared" si="150"/>
        <v>CITY OF MILWAUKEE</v>
      </c>
      <c r="C873" s="2" t="s">
        <v>2577</v>
      </c>
      <c r="D873" s="2" t="str">
        <f>CLEAN("2190-06-84")</f>
        <v>2190-06-84</v>
      </c>
      <c r="E873" s="3" t="str">
        <f>CLEAN("BIKE SHARE PHASE 2")</f>
        <v>BIKE SHARE PHASE 2</v>
      </c>
      <c r="F873" s="3" t="str">
        <f>CLEAN("26 STATIONS  VAR LOCATIONS C OF MKE")</f>
        <v>26 STATIONS  VAR LOCATIONS C OF MKE</v>
      </c>
      <c r="G873" s="3" t="str">
        <f>CLEAN("MIS/PROCUREMENT")</f>
        <v>MIS/PROCUREMENT</v>
      </c>
      <c r="H873" s="2" t="str">
        <f>CLEAN("NON HWY")</f>
        <v>NON HWY</v>
      </c>
      <c r="I873" s="2" t="str">
        <f>CLEAN("211")</f>
        <v>211</v>
      </c>
    </row>
    <row r="874" spans="1:9" x14ac:dyDescent="0.35">
      <c r="A874" s="2" t="str">
        <f t="shared" si="149"/>
        <v>MILWAUKEE</v>
      </c>
      <c r="B874" s="2" t="str">
        <f t="shared" si="150"/>
        <v>CITY OF MILWAUKEE</v>
      </c>
      <c r="C874" s="2" t="s">
        <v>2634</v>
      </c>
      <c r="D874" s="2" t="str">
        <f>CLEAN("2195-03-00")</f>
        <v>2195-03-00</v>
      </c>
      <c r="E874" s="3" t="str">
        <f>CLEAN("W WELLS STREET  CITY OF MILWAUKEE")</f>
        <v>W WELLS STREET  CITY OF MILWAUKEE</v>
      </c>
      <c r="F874" s="3" t="str">
        <f>CLEAN("MILWAUKEE RIVER BRIDGE B-40-544")</f>
        <v>MILWAUKEE RIVER BRIDGE B-40-544</v>
      </c>
      <c r="G874" s="3" t="str">
        <f>CLEAN("PE/BRIDGE REHAB")</f>
        <v>PE/BRIDGE REHAB</v>
      </c>
      <c r="H874" s="2" t="str">
        <f>CLEAN("USH 018")</f>
        <v>USH 018</v>
      </c>
      <c r="I874" s="2" t="str">
        <f t="shared" ref="I874:I879" si="152">CLEAN("303")</f>
        <v>303</v>
      </c>
    </row>
    <row r="875" spans="1:9" x14ac:dyDescent="0.35">
      <c r="A875" s="2" t="str">
        <f t="shared" si="149"/>
        <v>MILWAUKEE</v>
      </c>
      <c r="B875" s="2" t="str">
        <f t="shared" si="150"/>
        <v>CITY OF MILWAUKEE</v>
      </c>
      <c r="C875" s="2" t="s">
        <v>793</v>
      </c>
      <c r="D875" s="2" t="str">
        <f>CLEAN("2195-04-70")</f>
        <v>2195-04-70</v>
      </c>
      <c r="E875" s="3" t="str">
        <f>CLEAN("C MILWAUKEE WELLS STREET")</f>
        <v>C MILWAUKEE WELLS STREET</v>
      </c>
      <c r="F875" s="3" t="str">
        <f>CLEAN("N BROADWAY TO N VAN BUREN STREET")</f>
        <v>N BROADWAY TO N VAN BUREN STREET</v>
      </c>
      <c r="G875" s="3" t="str">
        <f>CLEAN("CONST/RECONSTRUCT NO ADDL LANES")</f>
        <v>CONST/RECONSTRUCT NO ADDL LANES</v>
      </c>
      <c r="H875" s="2" t="str">
        <f>CLEAN("STH 032")</f>
        <v>STH 032</v>
      </c>
      <c r="I875" s="2" t="str">
        <f t="shared" si="152"/>
        <v>303</v>
      </c>
    </row>
    <row r="876" spans="1:9" x14ac:dyDescent="0.35">
      <c r="A876" s="2" t="str">
        <f t="shared" si="149"/>
        <v>MILWAUKEE</v>
      </c>
      <c r="B876" s="2" t="str">
        <f t="shared" si="150"/>
        <v>CITY OF MILWAUKEE</v>
      </c>
      <c r="C876" s="2" t="s">
        <v>2726</v>
      </c>
      <c r="D876" s="2" t="str">
        <f>CLEAN("2219-05-00")</f>
        <v>2219-05-00</v>
      </c>
      <c r="E876" s="3" t="str">
        <f>CLEAN("C MILWAUKEE  1ST STREET")</f>
        <v>C MILWAUKEE  1ST STREET</v>
      </c>
      <c r="F876" s="3" t="str">
        <f>CLEAN("W LAPHAM BLVD TO E FLORIDA ST")</f>
        <v>W LAPHAM BLVD TO E FLORIDA ST</v>
      </c>
      <c r="G876" s="3" t="str">
        <f>CLEAN("PE/FULL PS&amp;E W ROW /PAVE REPLACE")</f>
        <v>PE/FULL PS&amp;E W ROW /PAVE REPLACE</v>
      </c>
      <c r="H876" s="2" t="str">
        <f>CLEAN("STH 032")</f>
        <v>STH 032</v>
      </c>
      <c r="I876" s="2" t="str">
        <f t="shared" si="152"/>
        <v>303</v>
      </c>
    </row>
    <row r="877" spans="1:9" x14ac:dyDescent="0.35">
      <c r="A877" s="2" t="str">
        <f t="shared" si="149"/>
        <v>MILWAUKEE</v>
      </c>
      <c r="B877" s="2" t="str">
        <f t="shared" si="150"/>
        <v>CITY OF MILWAUKEE</v>
      </c>
      <c r="C877" s="2" t="s">
        <v>2908</v>
      </c>
      <c r="D877" s="2" t="str">
        <f>CLEAN("2225-15-00")</f>
        <v>2225-15-00</v>
      </c>
      <c r="E877" s="3" t="str">
        <f>CLEAN("C MILWAUKEE N LAKE DR")</f>
        <v>C MILWAUKEE N LAKE DR</v>
      </c>
      <c r="F877" s="3" t="str">
        <f>CLEAN("NEWBERRY BLVD TO EDGEWOOD AVE")</f>
        <v>NEWBERRY BLVD TO EDGEWOOD AVE</v>
      </c>
      <c r="G877" s="3" t="str">
        <f>CLEAN("PE/PAVEMENT REPLACEMENT")</f>
        <v>PE/PAVEMENT REPLACEMENT</v>
      </c>
      <c r="H877" s="2" t="str">
        <f>CLEAN("STH 032")</f>
        <v>STH 032</v>
      </c>
      <c r="I877" s="2" t="str">
        <f t="shared" si="152"/>
        <v>303</v>
      </c>
    </row>
    <row r="878" spans="1:9" x14ac:dyDescent="0.35">
      <c r="A878" s="2" t="str">
        <f t="shared" si="149"/>
        <v>MILWAUKEE</v>
      </c>
      <c r="B878" s="2" t="str">
        <f t="shared" si="150"/>
        <v>CITY OF MILWAUKEE</v>
      </c>
      <c r="C878" s="2" t="s">
        <v>666</v>
      </c>
      <c r="D878" s="2" t="str">
        <f>CLEAN("2225-15-70")</f>
        <v>2225-15-70</v>
      </c>
      <c r="E878" s="3" t="str">
        <f>CLEAN("C MILWAUKEE  N LAKE DR")</f>
        <v>C MILWAUKEE  N LAKE DR</v>
      </c>
      <c r="F878" s="3" t="str">
        <f>CLEAN("NEWBERRY BLVD TO EDGEWOOD AVE")</f>
        <v>NEWBERRY BLVD TO EDGEWOOD AVE</v>
      </c>
      <c r="G878" s="3" t="str">
        <f>CLEAN("CONST/PAVEMENT REPLACEMENT")</f>
        <v>CONST/PAVEMENT REPLACEMENT</v>
      </c>
      <c r="H878" s="2" t="str">
        <f>CLEAN("STH 032")</f>
        <v>STH 032</v>
      </c>
      <c r="I878" s="2" t="str">
        <f t="shared" si="152"/>
        <v>303</v>
      </c>
    </row>
    <row r="879" spans="1:9" x14ac:dyDescent="0.35">
      <c r="A879" s="2" t="str">
        <f t="shared" si="149"/>
        <v>MILWAUKEE</v>
      </c>
      <c r="B879" s="2" t="str">
        <f t="shared" si="150"/>
        <v>CITY OF MILWAUKEE</v>
      </c>
      <c r="C879" s="2" t="s">
        <v>2753</v>
      </c>
      <c r="D879" s="2" t="str">
        <f>CLEAN("2225-16-00")</f>
        <v>2225-16-00</v>
      </c>
      <c r="E879" s="3" t="str">
        <f>CLEAN("C MILWAUKEE  W PROSPECT AVE")</f>
        <v>C MILWAUKEE  W PROSPECT AVE</v>
      </c>
      <c r="F879" s="3" t="str">
        <f>CLEAN("E WELLS ST TO E BRADFORD AVE")</f>
        <v>E WELLS ST TO E BRADFORD AVE</v>
      </c>
      <c r="G879" s="3" t="str">
        <f>CLEAN("PE/FULL PS&amp;E/PVRPLA")</f>
        <v>PE/FULL PS&amp;E/PVRPLA</v>
      </c>
      <c r="H879" s="2" t="str">
        <f>CLEAN("STH 032")</f>
        <v>STH 032</v>
      </c>
      <c r="I879" s="2" t="str">
        <f t="shared" si="152"/>
        <v>303</v>
      </c>
    </row>
    <row r="880" spans="1:9" x14ac:dyDescent="0.35">
      <c r="A880" s="2" t="str">
        <f t="shared" si="149"/>
        <v>MILWAUKEE</v>
      </c>
      <c r="B880" s="2" t="str">
        <f t="shared" si="150"/>
        <v>CITY OF MILWAUKEE</v>
      </c>
      <c r="C880" s="2" t="s">
        <v>1047</v>
      </c>
      <c r="D880" s="2" t="str">
        <f>CLEAN("2245-01-90")</f>
        <v>2245-01-90</v>
      </c>
      <c r="E880" s="3" t="str">
        <f>CLEAN("SOUTH 2ND STREET")</f>
        <v>SOUTH 2ND STREET</v>
      </c>
      <c r="F880" s="3" t="str">
        <f>CLEAN("WEST NATIONAL AVE TO MENOMONEE RVR")</f>
        <v>WEST NATIONAL AVE TO MENOMONEE RVR</v>
      </c>
      <c r="G880" s="3" t="str">
        <f>CLEAN("CONST/SIGNALS")</f>
        <v>CONST/SIGNALS</v>
      </c>
      <c r="H880" s="2" t="str">
        <f>CLEAN("LOC STR")</f>
        <v>LOC STR</v>
      </c>
      <c r="I880" s="2" t="str">
        <f>CLEAN("206")</f>
        <v>206</v>
      </c>
    </row>
    <row r="881" spans="1:9" x14ac:dyDescent="0.35">
      <c r="A881" s="2" t="str">
        <f t="shared" si="149"/>
        <v>MILWAUKEE</v>
      </c>
      <c r="B881" s="2" t="str">
        <f t="shared" si="150"/>
        <v>CITY OF MILWAUKEE</v>
      </c>
      <c r="C881" s="2" t="s">
        <v>573</v>
      </c>
      <c r="D881" s="2" t="str">
        <f>CLEAN("2265-00-78")</f>
        <v>2265-00-78</v>
      </c>
      <c r="E881" s="3" t="str">
        <f>CLEAN("C MILWAUKEE N 27TH STREET")</f>
        <v>C MILWAUKEE N 27TH STREET</v>
      </c>
      <c r="F881" s="3" t="str">
        <f>CLEAN("INTERSECT W/LOCUST  CENTER &amp; NORTH")</f>
        <v>INTERSECT W/LOCUST  CENTER &amp; NORTH</v>
      </c>
      <c r="G881" s="3" t="str">
        <f>CLEAN("CONST/HSIP/INTERSECT IMPROVEMENTS")</f>
        <v>CONST/HSIP/INTERSECT IMPROVEMENTS</v>
      </c>
      <c r="H881" s="2" t="str">
        <f>CLEAN("LOC STR")</f>
        <v>LOC STR</v>
      </c>
      <c r="I881" s="2" t="str">
        <f>CLEAN("206")</f>
        <v>206</v>
      </c>
    </row>
    <row r="882" spans="1:9" x14ac:dyDescent="0.35">
      <c r="A882" s="2" t="str">
        <f t="shared" si="149"/>
        <v>MILWAUKEE</v>
      </c>
      <c r="B882" s="2" t="str">
        <f t="shared" si="150"/>
        <v>CITY OF MILWAUKEE</v>
      </c>
      <c r="C882" s="2" t="s">
        <v>1019</v>
      </c>
      <c r="D882" s="2" t="str">
        <f>CLEAN("2265-11-72")</f>
        <v>2265-11-72</v>
      </c>
      <c r="E882" s="3" t="str">
        <f>CLEAN("C GREENFIELD/MILWAUKEE  S 27TH ST")</f>
        <v>C GREENFIELD/MILWAUKEE  S 27TH ST</v>
      </c>
      <c r="F882" s="3" t="str">
        <f>CLEAN("W BOTTSFORD AVE TO W HOWARD AVE")</f>
        <v>W BOTTSFORD AVE TO W HOWARD AVE</v>
      </c>
      <c r="G882" s="3" t="str">
        <f>CLEAN("CONST/RSRF25")</f>
        <v>CONST/RSRF25</v>
      </c>
      <c r="H882" s="2" t="str">
        <f>CLEAN("STH 241")</f>
        <v>STH 241</v>
      </c>
      <c r="I882" s="2" t="str">
        <f>CLEAN("303")</f>
        <v>303</v>
      </c>
    </row>
    <row r="883" spans="1:9" x14ac:dyDescent="0.35">
      <c r="A883" s="2" t="str">
        <f t="shared" si="149"/>
        <v>MILWAUKEE</v>
      </c>
      <c r="B883" s="2" t="str">
        <f t="shared" si="150"/>
        <v>CITY OF MILWAUKEE</v>
      </c>
      <c r="C883" s="2" t="s">
        <v>3025</v>
      </c>
      <c r="D883" s="2" t="str">
        <f>CLEAN("2265-12-00")</f>
        <v>2265-12-00</v>
      </c>
      <c r="E883" s="3" t="str">
        <f>CLEAN("27TH STREET")</f>
        <v>27TH STREET</v>
      </c>
      <c r="F883" s="3" t="str">
        <f>CLEAN("W KK RVR PRKWY TO W HOWARD AVE")</f>
        <v>W KK RVR PRKWY TO W HOWARD AVE</v>
      </c>
      <c r="G883" s="3" t="str">
        <f>CLEAN("PE/VAR INTERSECTION IMPROVEMENTS")</f>
        <v>PE/VAR INTERSECTION IMPROVEMENTS</v>
      </c>
      <c r="H883" s="2" t="str">
        <f>CLEAN("STH 241")</f>
        <v>STH 241</v>
      </c>
      <c r="I883" s="2" t="str">
        <f>CLEAN("303")</f>
        <v>303</v>
      </c>
    </row>
    <row r="884" spans="1:9" x14ac:dyDescent="0.35">
      <c r="A884" s="2" t="str">
        <f t="shared" si="149"/>
        <v>MILWAUKEE</v>
      </c>
      <c r="B884" s="2" t="str">
        <f t="shared" si="150"/>
        <v>CITY OF MILWAUKEE</v>
      </c>
      <c r="C884" s="2" t="s">
        <v>956</v>
      </c>
      <c r="D884" s="2" t="str">
        <f>CLEAN("2265-18-70")</f>
        <v>2265-18-70</v>
      </c>
      <c r="E884" s="3" t="str">
        <f>CLEAN("OAK CREEK - MILWAUKEE")</f>
        <v>OAK CREEK - MILWAUKEE</v>
      </c>
      <c r="F884" s="3" t="str">
        <f>CLEAN("COLLEGE AVE TO LAYTON AVE")</f>
        <v>COLLEGE AVE TO LAYTON AVE</v>
      </c>
      <c r="G884" s="3" t="str">
        <f>CLEAN("CONST/RESURFACE")</f>
        <v>CONST/RESURFACE</v>
      </c>
      <c r="H884" s="2" t="str">
        <f>CLEAN("STH 241")</f>
        <v>STH 241</v>
      </c>
      <c r="I884" s="2" t="str">
        <f>CLEAN("303")</f>
        <v>303</v>
      </c>
    </row>
    <row r="885" spans="1:9" x14ac:dyDescent="0.35">
      <c r="A885" s="2" t="str">
        <f t="shared" si="149"/>
        <v>MILWAUKEE</v>
      </c>
      <c r="B885" s="2" t="str">
        <f t="shared" si="150"/>
        <v>CITY OF MILWAUKEE</v>
      </c>
      <c r="C885" s="2" t="s">
        <v>2961</v>
      </c>
      <c r="D885" s="2" t="str">
        <f>CLEAN("2275-05-00")</f>
        <v>2275-05-00</v>
      </c>
      <c r="E885" s="3" t="str">
        <f>CLEAN("N 20TH ST  CITY OF MILWAUKEE")</f>
        <v>N 20TH ST  CITY OF MILWAUKEE</v>
      </c>
      <c r="F885" s="3" t="str">
        <f>CLEAN("NORTH AVE TO HOPKINS ST")</f>
        <v>NORTH AVE TO HOPKINS ST</v>
      </c>
      <c r="G885" s="3" t="str">
        <f>CLEAN("PE/RESURFACE")</f>
        <v>PE/RESURFACE</v>
      </c>
      <c r="H885" s="2" t="str">
        <f>CLEAN("STH 057")</f>
        <v>STH 057</v>
      </c>
      <c r="I885" s="2" t="str">
        <f>CLEAN("303")</f>
        <v>303</v>
      </c>
    </row>
    <row r="886" spans="1:9" x14ac:dyDescent="0.35">
      <c r="A886" s="2" t="str">
        <f t="shared" si="149"/>
        <v>MILWAUKEE</v>
      </c>
      <c r="B886" s="2" t="str">
        <f t="shared" si="150"/>
        <v>CITY OF MILWAUKEE</v>
      </c>
      <c r="C886" s="2" t="s">
        <v>978</v>
      </c>
      <c r="D886" s="2" t="str">
        <f>CLEAN("2275-05-70")</f>
        <v>2275-05-70</v>
      </c>
      <c r="E886" s="3" t="str">
        <f>CLEAN("C MILWAUKEE  N 20TH ST")</f>
        <v>C MILWAUKEE  N 20TH ST</v>
      </c>
      <c r="F886" s="3" t="str">
        <f>CLEAN("NORTH AVE TO HOPKINS ST")</f>
        <v>NORTH AVE TO HOPKINS ST</v>
      </c>
      <c r="G886" s="3" t="str">
        <f>CLEAN("CONST/RESURFACE")</f>
        <v>CONST/RESURFACE</v>
      </c>
      <c r="H886" s="2" t="str">
        <f>CLEAN("STH 057")</f>
        <v>STH 057</v>
      </c>
      <c r="I886" s="2" t="str">
        <f>CLEAN("303")</f>
        <v>303</v>
      </c>
    </row>
    <row r="887" spans="1:9" x14ac:dyDescent="0.35">
      <c r="A887" s="2" t="str">
        <f t="shared" si="149"/>
        <v>MILWAUKEE</v>
      </c>
      <c r="B887" s="2" t="str">
        <f t="shared" si="150"/>
        <v>CITY OF MILWAUKEE</v>
      </c>
      <c r="C887" s="2" t="s">
        <v>2642</v>
      </c>
      <c r="D887" s="2" t="str">
        <f>CLEAN("2365-07-00")</f>
        <v>2365-07-00</v>
      </c>
      <c r="E887" s="3" t="str">
        <f>CLEAN("W GRANGE AVENUE")</f>
        <v>W GRANGE AVENUE</v>
      </c>
      <c r="F887" s="3" t="str">
        <f>CLEAN("BRIDGE OVER CP RR B-40-0500")</f>
        <v>BRIDGE OVER CP RR B-40-0500</v>
      </c>
      <c r="G887" s="3" t="str">
        <f>CLEAN("PE/BRIDGE REPLACEMENT")</f>
        <v>PE/BRIDGE REPLACEMENT</v>
      </c>
      <c r="H887" s="2" t="str">
        <f>CLEAN("LOC STR")</f>
        <v>LOC STR</v>
      </c>
      <c r="I887" s="2" t="str">
        <f>CLEAN("205")</f>
        <v>205</v>
      </c>
    </row>
    <row r="888" spans="1:9" x14ac:dyDescent="0.35">
      <c r="A888" s="2" t="str">
        <f t="shared" si="149"/>
        <v>MILWAUKEE</v>
      </c>
      <c r="B888" s="2" t="str">
        <f t="shared" si="150"/>
        <v>CITY OF MILWAUKEE</v>
      </c>
      <c r="C888" s="2" t="s">
        <v>395</v>
      </c>
      <c r="D888" s="2" t="str">
        <f>CLEAN("2365-07-70")</f>
        <v>2365-07-70</v>
      </c>
      <c r="E888" s="3" t="str">
        <f>CLEAN("W GRANGE AVENUE")</f>
        <v>W GRANGE AVENUE</v>
      </c>
      <c r="F888" s="3" t="str">
        <f>CLEAN("BRIDGE OVER CP RR B-40-0500")</f>
        <v>BRIDGE OVER CP RR B-40-0500</v>
      </c>
      <c r="G888" s="3" t="str">
        <f>CLEAN("CONST/BRIDGE REHABILITATION")</f>
        <v>CONST/BRIDGE REHABILITATION</v>
      </c>
      <c r="H888" s="2" t="str">
        <f>CLEAN("LOC STR")</f>
        <v>LOC STR</v>
      </c>
      <c r="I888" s="2" t="str">
        <f>CLEAN("205")</f>
        <v>205</v>
      </c>
    </row>
    <row r="889" spans="1:9" x14ac:dyDescent="0.35">
      <c r="A889" s="2" t="str">
        <f t="shared" si="149"/>
        <v>MILWAUKEE</v>
      </c>
      <c r="B889" s="2" t="str">
        <f t="shared" si="150"/>
        <v>CITY OF MILWAUKEE</v>
      </c>
      <c r="C889" s="2" t="s">
        <v>805</v>
      </c>
      <c r="D889" s="2" t="str">
        <f>CLEAN("2395-05-71")</f>
        <v>2395-05-71</v>
      </c>
      <c r="E889" s="3" t="str">
        <f>CLEAN("C MILWAUKEE E/W HOWARD AVENUE")</f>
        <v>C MILWAUKEE E/W HOWARD AVENUE</v>
      </c>
      <c r="F889" s="3" t="str">
        <f>CLEAN("S 6TH STREET TO S CLEMENT AVENUE")</f>
        <v>S 6TH STREET TO S CLEMENT AVENUE</v>
      </c>
      <c r="G889" s="3" t="str">
        <f>CLEAN("CONST/RECONSTRUCT W/ NO ADDL LANES")</f>
        <v>CONST/RECONSTRUCT W/ NO ADDL LANES</v>
      </c>
      <c r="H889" s="2" t="str">
        <f>CLEAN("LOC STR")</f>
        <v>LOC STR</v>
      </c>
      <c r="I889" s="2" t="str">
        <f>CLEAN("206")</f>
        <v>206</v>
      </c>
    </row>
    <row r="890" spans="1:9" x14ac:dyDescent="0.35">
      <c r="A890" s="2" t="str">
        <f t="shared" si="149"/>
        <v>MILWAUKEE</v>
      </c>
      <c r="B890" s="2" t="str">
        <f t="shared" si="150"/>
        <v>CITY OF MILWAUKEE</v>
      </c>
      <c r="C890" s="2" t="s">
        <v>688</v>
      </c>
      <c r="D890" s="2" t="str">
        <f>CLEAN("2400-07-71")</f>
        <v>2400-07-71</v>
      </c>
      <c r="E890" s="3" t="str">
        <f>CLEAN("OKLAHOMA AVENUE MULTIMODAL")</f>
        <v>OKLAHOMA AVENUE MULTIMODAL</v>
      </c>
      <c r="F890" s="3" t="str">
        <f>CLEAN("S 27TH ST TO S 6TH ST")</f>
        <v>S 27TH ST TO S 6TH ST</v>
      </c>
      <c r="G890" s="3" t="str">
        <f>CLEAN("CONST/PEDESTRIAN IMPROVEMENTS")</f>
        <v>CONST/PEDESTRIAN IMPROVEMENTS</v>
      </c>
      <c r="H890" s="2" t="str">
        <f>CLEAN("LOC STR")</f>
        <v>LOC STR</v>
      </c>
      <c r="I890" s="2" t="str">
        <f>CLEAN("290")</f>
        <v>290</v>
      </c>
    </row>
    <row r="891" spans="1:9" x14ac:dyDescent="0.35">
      <c r="A891" s="2" t="str">
        <f t="shared" si="149"/>
        <v>MILWAUKEE</v>
      </c>
      <c r="B891" s="2" t="str">
        <f t="shared" si="150"/>
        <v>CITY OF MILWAUKEE</v>
      </c>
      <c r="C891" s="2" t="s">
        <v>2906</v>
      </c>
      <c r="D891" s="2" t="str">
        <f>CLEAN("2410-10-00")</f>
        <v>2410-10-00</v>
      </c>
      <c r="E891" s="3" t="str">
        <f>CLEAN("W NATIONAL AVE  CITY OF MILWAUKEE")</f>
        <v>W NATIONAL AVE  CITY OF MILWAUKEE</v>
      </c>
      <c r="F891" s="3" t="str">
        <f>CLEAN("39TH ST TO 1ST ST")</f>
        <v>39TH ST TO 1ST ST</v>
      </c>
      <c r="G891" s="3" t="str">
        <f>CLEAN("PE/PAVEMENT REPLACEMENT")</f>
        <v>PE/PAVEMENT REPLACEMENT</v>
      </c>
      <c r="H891" s="2" t="str">
        <f>CLEAN("STH 059")</f>
        <v>STH 059</v>
      </c>
      <c r="I891" s="2" t="str">
        <f>CLEAN("303")</f>
        <v>303</v>
      </c>
    </row>
    <row r="892" spans="1:9" x14ac:dyDescent="0.35">
      <c r="A892" s="2" t="str">
        <f t="shared" si="149"/>
        <v>MILWAUKEE</v>
      </c>
      <c r="B892" s="2" t="str">
        <f t="shared" si="150"/>
        <v>CITY OF MILWAUKEE</v>
      </c>
      <c r="C892" s="2" t="s">
        <v>654</v>
      </c>
      <c r="D892" s="2" t="str">
        <f>CLEAN("2410-10-70")</f>
        <v>2410-10-70</v>
      </c>
      <c r="E892" s="3" t="str">
        <f>CLEAN("C MILWAUKEE  W NATIONAL AVE")</f>
        <v>C MILWAUKEE  W NATIONAL AVE</v>
      </c>
      <c r="F892" s="3" t="str">
        <f>CLEAN("39TH ST TO 27TH ST")</f>
        <v>39TH ST TO 27TH ST</v>
      </c>
      <c r="G892" s="3" t="str">
        <f>CLEAN("CONST/PAVEMENT REPLACEMENT")</f>
        <v>CONST/PAVEMENT REPLACEMENT</v>
      </c>
      <c r="H892" s="2" t="str">
        <f>CLEAN("STH 059")</f>
        <v>STH 059</v>
      </c>
      <c r="I892" s="2" t="str">
        <f>CLEAN("303")</f>
        <v>303</v>
      </c>
    </row>
    <row r="893" spans="1:9" x14ac:dyDescent="0.35">
      <c r="A893" s="2" t="str">
        <f t="shared" si="149"/>
        <v>MILWAUKEE</v>
      </c>
      <c r="B893" s="2" t="str">
        <f t="shared" si="150"/>
        <v>CITY OF MILWAUKEE</v>
      </c>
      <c r="C893" s="2" t="s">
        <v>710</v>
      </c>
      <c r="D893" s="2" t="str">
        <f>CLEAN("2410-10-71")</f>
        <v>2410-10-71</v>
      </c>
      <c r="E893" s="3" t="str">
        <f>CLEAN("C MILWAUKEE  W NATIONAL AVE")</f>
        <v>C MILWAUKEE  W NATIONAL AVE</v>
      </c>
      <c r="F893" s="3" t="str">
        <f>CLEAN("27TH ST TO 1ST ST")</f>
        <v>27TH ST TO 1ST ST</v>
      </c>
      <c r="G893" s="3" t="str">
        <f>CLEAN("CONST/PVRPLA")</f>
        <v>CONST/PVRPLA</v>
      </c>
      <c r="H893" s="2" t="str">
        <f>CLEAN("STH 059")</f>
        <v>STH 059</v>
      </c>
      <c r="I893" s="2" t="str">
        <f>CLEAN("303")</f>
        <v>303</v>
      </c>
    </row>
    <row r="894" spans="1:9" x14ac:dyDescent="0.35">
      <c r="A894" s="2" t="str">
        <f t="shared" si="149"/>
        <v>MILWAUKEE</v>
      </c>
      <c r="B894" s="2" t="str">
        <f t="shared" si="150"/>
        <v>CITY OF MILWAUKEE</v>
      </c>
      <c r="C894" s="2" t="s">
        <v>2945</v>
      </c>
      <c r="D894" s="2" t="str">
        <f>CLEAN("2415-00-01")</f>
        <v>2415-00-01</v>
      </c>
      <c r="E894" s="3" t="str">
        <f>CLEAN("SOUTH 60TH STREET")</f>
        <v>SOUTH 60TH STREET</v>
      </c>
      <c r="F894" s="3" t="str">
        <f>CLEAN("W MORGAN AVE TO KK RVR PKWY")</f>
        <v>W MORGAN AVE TO KK RVR PKWY</v>
      </c>
      <c r="G894" s="3" t="str">
        <f>CLEAN("PE/RECONSTRUCT NO ADDED CAPACITY")</f>
        <v>PE/RECONSTRUCT NO ADDED CAPACITY</v>
      </c>
      <c r="H894" s="2" t="str">
        <f>CLEAN("LOC STR")</f>
        <v>LOC STR</v>
      </c>
      <c r="I894" s="2" t="str">
        <f>CLEAN("206")</f>
        <v>206</v>
      </c>
    </row>
    <row r="895" spans="1:9" x14ac:dyDescent="0.35">
      <c r="A895" s="2" t="str">
        <f t="shared" si="149"/>
        <v>MILWAUKEE</v>
      </c>
      <c r="B895" s="2" t="str">
        <f t="shared" si="150"/>
        <v>CITY OF MILWAUKEE</v>
      </c>
      <c r="C895" s="2" t="s">
        <v>806</v>
      </c>
      <c r="D895" s="2" t="str">
        <f>CLEAN("2415-00-70")</f>
        <v>2415-00-70</v>
      </c>
      <c r="E895" s="3" t="str">
        <f>CLEAN("SOUTH 60TH STREET")</f>
        <v>SOUTH 60TH STREET</v>
      </c>
      <c r="F895" s="3" t="str">
        <f>CLEAN("W COLD SPRING RD TO W MORGAN AVE")</f>
        <v>W COLD SPRING RD TO W MORGAN AVE</v>
      </c>
      <c r="G895" s="3" t="str">
        <f>CLEAN("CONST/RECONSTRUCT W/ NO ADDL LANES")</f>
        <v>CONST/RECONSTRUCT W/ NO ADDL LANES</v>
      </c>
      <c r="H895" s="2" t="str">
        <f>CLEAN("LOC STR")</f>
        <v>LOC STR</v>
      </c>
      <c r="I895" s="2" t="str">
        <f>CLEAN("206")</f>
        <v>206</v>
      </c>
    </row>
    <row r="896" spans="1:9" x14ac:dyDescent="0.35">
      <c r="A896" s="2" t="str">
        <f t="shared" si="149"/>
        <v>MILWAUKEE</v>
      </c>
      <c r="B896" s="2" t="str">
        <f t="shared" si="150"/>
        <v>CITY OF MILWAUKEE</v>
      </c>
      <c r="C896" s="2" t="s">
        <v>628</v>
      </c>
      <c r="D896" s="2" t="str">
        <f>CLEAN("2415-02-71")</f>
        <v>2415-02-71</v>
      </c>
      <c r="E896" s="3" t="str">
        <f>CLEAN("C MILWAUKEE  N 60TH ST")</f>
        <v>C MILWAUKEE  N 60TH ST</v>
      </c>
      <c r="F896" s="3" t="str">
        <f>CLEAN("INTERSECTIONS WITH KEEFE &amp; BURLEIGH")</f>
        <v>INTERSECTIONS WITH KEEFE &amp; BURLEIGH</v>
      </c>
      <c r="G896" s="3" t="str">
        <f>CLEAN("CONST/MISC")</f>
        <v>CONST/MISC</v>
      </c>
      <c r="H896" s="2" t="str">
        <f>CLEAN("LOC STR")</f>
        <v>LOC STR</v>
      </c>
      <c r="I896" s="2" t="str">
        <f>CLEAN("206")</f>
        <v>206</v>
      </c>
    </row>
    <row r="897" spans="1:9" x14ac:dyDescent="0.35">
      <c r="A897" s="2" t="str">
        <f t="shared" si="149"/>
        <v>MILWAUKEE</v>
      </c>
      <c r="B897" s="2" t="str">
        <f t="shared" si="150"/>
        <v>CITY OF MILWAUKEE</v>
      </c>
      <c r="C897" s="2" t="s">
        <v>2938</v>
      </c>
      <c r="D897" s="2" t="str">
        <f>CLEAN("2455-07-00")</f>
        <v>2455-07-00</v>
      </c>
      <c r="E897" s="3" t="str">
        <f>CLEAN("E/W LOCUST STREET")</f>
        <v>E/W LOCUST STREET</v>
      </c>
      <c r="F897" s="3" t="str">
        <f>CLEAN("N 7TH STREET TO N HOLTON STREET")</f>
        <v>N 7TH STREET TO N HOLTON STREET</v>
      </c>
      <c r="G897" s="3" t="str">
        <f>CLEAN("PE/RECONDITION")</f>
        <v>PE/RECONDITION</v>
      </c>
      <c r="H897" s="2" t="str">
        <f>CLEAN("LOC STR")</f>
        <v>LOC STR</v>
      </c>
      <c r="I897" s="2" t="str">
        <f>CLEAN("206")</f>
        <v>206</v>
      </c>
    </row>
    <row r="898" spans="1:9" x14ac:dyDescent="0.35">
      <c r="A898" s="2" t="str">
        <f t="shared" si="149"/>
        <v>MILWAUKEE</v>
      </c>
      <c r="B898" s="2" t="str">
        <f t="shared" si="150"/>
        <v>CITY OF MILWAUKEE</v>
      </c>
      <c r="C898" s="2" t="s">
        <v>742</v>
      </c>
      <c r="D898" s="2" t="str">
        <f>CLEAN("2455-07-70")</f>
        <v>2455-07-70</v>
      </c>
      <c r="E898" s="3" t="str">
        <f>CLEAN("C MILWAUKEE E/W LOCUST STREET")</f>
        <v>C MILWAUKEE E/W LOCUST STREET</v>
      </c>
      <c r="F898" s="3" t="str">
        <f>CLEAN("N 7TH STREET TO N HOLTON STREET")</f>
        <v>N 7TH STREET TO N HOLTON STREET</v>
      </c>
      <c r="G898" s="3" t="str">
        <f>CLEAN("CONST/RECONDITION")</f>
        <v>CONST/RECONDITION</v>
      </c>
      <c r="H898" s="2" t="str">
        <f>CLEAN("LOC STR")</f>
        <v>LOC STR</v>
      </c>
      <c r="I898" s="2" t="str">
        <f>CLEAN("206")</f>
        <v>206</v>
      </c>
    </row>
    <row r="899" spans="1:9" x14ac:dyDescent="0.35">
      <c r="A899" s="2" t="str">
        <f t="shared" si="149"/>
        <v>MILWAUKEE</v>
      </c>
      <c r="B899" s="2" t="str">
        <f t="shared" si="150"/>
        <v>CITY OF MILWAUKEE</v>
      </c>
      <c r="C899" s="2" t="s">
        <v>582</v>
      </c>
      <c r="D899" s="2" t="str">
        <f>CLEAN("2545-03-72")</f>
        <v>2545-03-72</v>
      </c>
      <c r="E899" s="3" t="str">
        <f>CLEAN("76TH ST (STH 181)")</f>
        <v>76TH ST (STH 181)</v>
      </c>
      <c r="F899" s="3" t="str">
        <f>CLEAN("INTERSECTION WITH HAMPTON AVENUE")</f>
        <v>INTERSECTION WITH HAMPTON AVENUE</v>
      </c>
      <c r="G899" s="3" t="str">
        <f>CLEAN("CONST/INTERSECTION AND SIGNALS")</f>
        <v>CONST/INTERSECTION AND SIGNALS</v>
      </c>
      <c r="H899" s="2" t="str">
        <f>CLEAN("STH 181")</f>
        <v>STH 181</v>
      </c>
      <c r="I899" s="2" t="str">
        <f>CLEAN("303")</f>
        <v>303</v>
      </c>
    </row>
    <row r="900" spans="1:9" x14ac:dyDescent="0.35">
      <c r="A900" s="2" t="str">
        <f t="shared" si="149"/>
        <v>MILWAUKEE</v>
      </c>
      <c r="B900" s="2" t="str">
        <f t="shared" si="150"/>
        <v>CITY OF MILWAUKEE</v>
      </c>
      <c r="C900" s="2" t="s">
        <v>741</v>
      </c>
      <c r="D900" s="2" t="str">
        <f>CLEAN("2545-09-71")</f>
        <v>2545-09-71</v>
      </c>
      <c r="E900" s="3" t="str">
        <f>CLEAN("C MILWAUKEE W HAMPTON AVENUE")</f>
        <v>C MILWAUKEE W HAMPTON AVENUE</v>
      </c>
      <c r="F900" s="3" t="str">
        <f>CLEAN("N 60TH STREET TO N TEUTONIA AVENUE")</f>
        <v>N 60TH STREET TO N TEUTONIA AVENUE</v>
      </c>
      <c r="G900" s="3" t="str">
        <f>CLEAN("CONST/RECONDITION")</f>
        <v>CONST/RECONDITION</v>
      </c>
      <c r="H900" s="2" t="str">
        <f>CLEAN("LOC STR")</f>
        <v>LOC STR</v>
      </c>
      <c r="I900" s="2" t="str">
        <f>CLEAN("206")</f>
        <v>206</v>
      </c>
    </row>
    <row r="901" spans="1:9" x14ac:dyDescent="0.35">
      <c r="A901" s="2" t="str">
        <f t="shared" si="149"/>
        <v>MILWAUKEE</v>
      </c>
      <c r="B901" s="2" t="str">
        <f t="shared" si="150"/>
        <v>CITY OF MILWAUKEE</v>
      </c>
      <c r="C901" s="2" t="s">
        <v>2914</v>
      </c>
      <c r="D901" s="2" t="str">
        <f>CLEAN("2555-07-00")</f>
        <v>2555-07-00</v>
      </c>
      <c r="E901" s="3" t="str">
        <f>CLEAN("SAFE ROUTES TO TRANSIT PHASE 1")</f>
        <v>SAFE ROUTES TO TRANSIT PHASE 1</v>
      </c>
      <c r="F901" s="3" t="str">
        <f>CLEAN("W BURLEIGH  S CESAR CHAVEZ")</f>
        <v>W BURLEIGH  S CESAR CHAVEZ</v>
      </c>
      <c r="G901" s="3" t="str">
        <f>CLEAN("PE/PED BIKE FACILITIES")</f>
        <v>PE/PED BIKE FACILITIES</v>
      </c>
      <c r="H901" s="2" t="str">
        <f>CLEAN("NON HWY")</f>
        <v>NON HWY</v>
      </c>
      <c r="I901" s="2" t="str">
        <f>CLEAN("211")</f>
        <v>211</v>
      </c>
    </row>
    <row r="902" spans="1:9" x14ac:dyDescent="0.35">
      <c r="A902" s="2" t="str">
        <f t="shared" si="149"/>
        <v>MILWAUKEE</v>
      </c>
      <c r="B902" s="2" t="str">
        <f t="shared" si="150"/>
        <v>CITY OF MILWAUKEE</v>
      </c>
      <c r="C902" s="2" t="s">
        <v>681</v>
      </c>
      <c r="D902" s="2" t="str">
        <f>CLEAN("2555-07-70")</f>
        <v>2555-07-70</v>
      </c>
      <c r="E902" s="3" t="str">
        <f>CLEAN("SAFE ROUTES TO TRANSIT PHASE 1")</f>
        <v>SAFE ROUTES TO TRANSIT PHASE 1</v>
      </c>
      <c r="F902" s="3" t="str">
        <f>CLEAN("W BURLEIGH  S CESAR CHAVEZ")</f>
        <v>W BURLEIGH  S CESAR CHAVEZ</v>
      </c>
      <c r="G902" s="3" t="str">
        <f>CLEAN("CONST/PED BIKE FACILITIES")</f>
        <v>CONST/PED BIKE FACILITIES</v>
      </c>
      <c r="H902" s="2" t="str">
        <f>CLEAN("NON HWY")</f>
        <v>NON HWY</v>
      </c>
      <c r="I902" s="2" t="str">
        <f>CLEAN("211")</f>
        <v>211</v>
      </c>
    </row>
    <row r="903" spans="1:9" x14ac:dyDescent="0.35">
      <c r="A903" s="2" t="str">
        <f t="shared" si="149"/>
        <v>MILWAUKEE</v>
      </c>
      <c r="B903" s="2" t="str">
        <f t="shared" si="150"/>
        <v>CITY OF MILWAUKEE</v>
      </c>
      <c r="C903" s="2" t="s">
        <v>556</v>
      </c>
      <c r="D903" s="2" t="str">
        <f>CLEAN("2565-03-73")</f>
        <v>2565-03-73</v>
      </c>
      <c r="E903" s="3" t="str">
        <f>CLEAN("MILWAUKEE - MEQUON")</f>
        <v>MILWAUKEE - MEQUON</v>
      </c>
      <c r="F903" s="3" t="str">
        <f>CLEAN("0.1 MI S OF FAIRLANE TO TEUTONIA")</f>
        <v>0.1 MI S OF FAIRLANE TO TEUTONIA</v>
      </c>
      <c r="G903" s="3" t="str">
        <f>CLEAN("CONST/FULL PS/RSRF 25")</f>
        <v>CONST/FULL PS/RSRF 25</v>
      </c>
      <c r="H903" s="2" t="str">
        <f>CLEAN("STH 057")</f>
        <v>STH 057</v>
      </c>
      <c r="I903" s="2" t="str">
        <f>CLEAN("303")</f>
        <v>303</v>
      </c>
    </row>
    <row r="904" spans="1:9" x14ac:dyDescent="0.35">
      <c r="A904" s="2" t="str">
        <f t="shared" si="149"/>
        <v>MILWAUKEE</v>
      </c>
      <c r="B904" s="2" t="str">
        <f t="shared" si="150"/>
        <v>CITY OF MILWAUKEE</v>
      </c>
      <c r="C904" s="2" t="s">
        <v>2870</v>
      </c>
      <c r="D904" s="2" t="str">
        <f>CLEAN("2565-06-00")</f>
        <v>2565-06-00</v>
      </c>
      <c r="E904" s="3" t="str">
        <f>CLEAN("C MILWAUKEE  N GREEN BAY AVE")</f>
        <v>C MILWAUKEE  N GREEN BAY AVE</v>
      </c>
      <c r="F904" s="3" t="str">
        <f>CLEAN("W CAPITOL DR TO W SILVER SPRING DR")</f>
        <v>W CAPITOL DR TO W SILVER SPRING DR</v>
      </c>
      <c r="G904" s="3" t="str">
        <f>CLEAN("PE/FULL PSE/PAVEMENT REPLACEMENT")</f>
        <v>PE/FULL PSE/PAVEMENT REPLACEMENT</v>
      </c>
      <c r="H904" s="2" t="str">
        <f>CLEAN("STH 057")</f>
        <v>STH 057</v>
      </c>
      <c r="I904" s="2" t="str">
        <f>CLEAN("303")</f>
        <v>303</v>
      </c>
    </row>
    <row r="905" spans="1:9" x14ac:dyDescent="0.35">
      <c r="A905" s="2" t="str">
        <f t="shared" si="149"/>
        <v>MILWAUKEE</v>
      </c>
      <c r="B905" s="2" t="str">
        <f t="shared" si="150"/>
        <v>CITY OF MILWAUKEE</v>
      </c>
      <c r="C905" s="2" t="s">
        <v>2740</v>
      </c>
      <c r="D905" s="2" t="str">
        <f>CLEAN("2568-00-01")</f>
        <v>2568-00-01</v>
      </c>
      <c r="E905" s="3" t="str">
        <f>CLEAN("C MILWAUKEE  N DR MLK JR DR")</f>
        <v>C MILWAUKEE  N DR MLK JR DR</v>
      </c>
      <c r="F905" s="3" t="str">
        <f>CLEAN("INTERSECTIONS W CENTER TO W WRIGHT")</f>
        <v>INTERSECTIONS W CENTER TO W WRIGHT</v>
      </c>
      <c r="G905" s="3" t="str">
        <f>CLEAN("PE/FULL PS&amp;E/MISC")</f>
        <v>PE/FULL PS&amp;E/MISC</v>
      </c>
      <c r="H905" s="2" t="str">
        <f t="shared" ref="H905:H911" si="153">CLEAN("LOC STR")</f>
        <v>LOC STR</v>
      </c>
      <c r="I905" s="2" t="str">
        <f t="shared" ref="I905:I912" si="154">CLEAN("206")</f>
        <v>206</v>
      </c>
    </row>
    <row r="906" spans="1:9" x14ac:dyDescent="0.35">
      <c r="A906" s="2" t="str">
        <f t="shared" ref="A906:A969" si="155">CLEAN("MILWAUKEE")</f>
        <v>MILWAUKEE</v>
      </c>
      <c r="B906" s="2" t="str">
        <f t="shared" ref="B906:B969" si="156">CLEAN("CITY OF MILWAUKEE")</f>
        <v>CITY OF MILWAUKEE</v>
      </c>
      <c r="C906" s="2" t="s">
        <v>2804</v>
      </c>
      <c r="D906" s="2" t="str">
        <f>CLEAN("2568-00-02")</f>
        <v>2568-00-02</v>
      </c>
      <c r="E906" s="3" t="str">
        <f>CLEAN("C MILWAUKEE  N DR MLK JR DR")</f>
        <v>C MILWAUKEE  N DR MLK JR DR</v>
      </c>
      <c r="F906" s="3" t="str">
        <f>CLEAN("INTERSECTION WITH NORTH AVE")</f>
        <v>INTERSECTION WITH NORTH AVE</v>
      </c>
      <c r="G906" s="3" t="str">
        <f>CLEAN("PE/FULL PS/MISC")</f>
        <v>PE/FULL PS/MISC</v>
      </c>
      <c r="H906" s="2" t="str">
        <f t="shared" si="153"/>
        <v>LOC STR</v>
      </c>
      <c r="I906" s="2" t="str">
        <f t="shared" si="154"/>
        <v>206</v>
      </c>
    </row>
    <row r="907" spans="1:9" x14ac:dyDescent="0.35">
      <c r="A907" s="2" t="str">
        <f t="shared" si="155"/>
        <v>MILWAUKEE</v>
      </c>
      <c r="B907" s="2" t="str">
        <f t="shared" si="156"/>
        <v>CITY OF MILWAUKEE</v>
      </c>
      <c r="C907" s="2" t="s">
        <v>627</v>
      </c>
      <c r="D907" s="2" t="str">
        <f>CLEAN("2568-00-71")</f>
        <v>2568-00-71</v>
      </c>
      <c r="E907" s="3" t="str">
        <f>CLEAN("C MILWAUKEE  N DR MLK JR DR")</f>
        <v>C MILWAUKEE  N DR MLK JR DR</v>
      </c>
      <c r="F907" s="3" t="str">
        <f>CLEAN("INTERSECTIONS W CENTER TO W WRIGHT")</f>
        <v>INTERSECTIONS W CENTER TO W WRIGHT</v>
      </c>
      <c r="G907" s="3" t="str">
        <f>CLEAN("CONST/MISC")</f>
        <v>CONST/MISC</v>
      </c>
      <c r="H907" s="2" t="str">
        <f t="shared" si="153"/>
        <v>LOC STR</v>
      </c>
      <c r="I907" s="2" t="str">
        <f t="shared" si="154"/>
        <v>206</v>
      </c>
    </row>
    <row r="908" spans="1:9" x14ac:dyDescent="0.35">
      <c r="A908" s="2" t="str">
        <f t="shared" si="155"/>
        <v>MILWAUKEE</v>
      </c>
      <c r="B908" s="2" t="str">
        <f t="shared" si="156"/>
        <v>CITY OF MILWAUKEE</v>
      </c>
      <c r="C908" s="2" t="s">
        <v>624</v>
      </c>
      <c r="D908" s="2" t="str">
        <f>CLEAN("2568-00-72")</f>
        <v>2568-00-72</v>
      </c>
      <c r="E908" s="3" t="str">
        <f>CLEAN("C MILWAUKEE  N DR MLK JR DR")</f>
        <v>C MILWAUKEE  N DR MLK JR DR</v>
      </c>
      <c r="F908" s="3" t="str">
        <f>CLEAN("INTERSECTION WITH NORTH AVE")</f>
        <v>INTERSECTION WITH NORTH AVE</v>
      </c>
      <c r="G908" s="3" t="str">
        <f>CLEAN("CONST/MISC")</f>
        <v>CONST/MISC</v>
      </c>
      <c r="H908" s="2" t="str">
        <f t="shared" si="153"/>
        <v>LOC STR</v>
      </c>
      <c r="I908" s="2" t="str">
        <f t="shared" si="154"/>
        <v>206</v>
      </c>
    </row>
    <row r="909" spans="1:9" x14ac:dyDescent="0.35">
      <c r="A909" s="2" t="str">
        <f t="shared" si="155"/>
        <v>MILWAUKEE</v>
      </c>
      <c r="B909" s="2" t="str">
        <f t="shared" si="156"/>
        <v>CITY OF MILWAUKEE</v>
      </c>
      <c r="C909" s="2" t="s">
        <v>2564</v>
      </c>
      <c r="D909" s="2" t="str">
        <f>CLEAN("2585-00-90")</f>
        <v>2585-00-90</v>
      </c>
      <c r="E909" s="3" t="str">
        <f>CLEAN("NORTH 92ND STREET")</f>
        <v>NORTH 92ND STREET</v>
      </c>
      <c r="F909" s="3" t="str">
        <f>CLEAN("W CAPITOL DR TO W HAMPTON AVE")</f>
        <v>W CAPITOL DR TO W HAMPTON AVE</v>
      </c>
      <c r="G909" s="3" t="str">
        <f>CLEAN("LFA/RECONSTRUCT W/NO ADDL LANES")</f>
        <v>LFA/RECONSTRUCT W/NO ADDL LANES</v>
      </c>
      <c r="H909" s="2" t="str">
        <f t="shared" si="153"/>
        <v>LOC STR</v>
      </c>
      <c r="I909" s="2" t="str">
        <f t="shared" si="154"/>
        <v>206</v>
      </c>
    </row>
    <row r="910" spans="1:9" x14ac:dyDescent="0.35">
      <c r="A910" s="2" t="str">
        <f t="shared" si="155"/>
        <v>MILWAUKEE</v>
      </c>
      <c r="B910" s="2" t="str">
        <f t="shared" si="156"/>
        <v>CITY OF MILWAUKEE</v>
      </c>
      <c r="C910" s="2" t="s">
        <v>840</v>
      </c>
      <c r="D910" s="2" t="str">
        <f>CLEAN("2590-04-71")</f>
        <v>2590-04-71</v>
      </c>
      <c r="E910" s="3" t="str">
        <f>CLEAN("C MILWAUKEE  W LISBON AVENUE")</f>
        <v>C MILWAUKEE  W LISBON AVENUE</v>
      </c>
      <c r="F910" s="3" t="str">
        <f>CLEAN("W BURLEIGH ST TO N 100TH ST")</f>
        <v>W BURLEIGH ST TO N 100TH ST</v>
      </c>
      <c r="G910" s="3" t="str">
        <f>CLEAN("CONST/RECST")</f>
        <v>CONST/RECST</v>
      </c>
      <c r="H910" s="2" t="str">
        <f t="shared" si="153"/>
        <v>LOC STR</v>
      </c>
      <c r="I910" s="2" t="str">
        <f t="shared" si="154"/>
        <v>206</v>
      </c>
    </row>
    <row r="911" spans="1:9" x14ac:dyDescent="0.35">
      <c r="A911" s="2" t="str">
        <f t="shared" si="155"/>
        <v>MILWAUKEE</v>
      </c>
      <c r="B911" s="2" t="str">
        <f t="shared" si="156"/>
        <v>CITY OF MILWAUKEE</v>
      </c>
      <c r="C911" s="2" t="s">
        <v>752</v>
      </c>
      <c r="D911" s="2" t="str">
        <f>CLEAN("2595-03-73")</f>
        <v>2595-03-73</v>
      </c>
      <c r="E911" s="3" t="str">
        <f>CLEAN("N 60TH STREET")</f>
        <v>N 60TH STREET</v>
      </c>
      <c r="F911" s="3" t="str">
        <f>CLEAN("W CAPITOL DR TO W HAMPTON AVE")</f>
        <v>W CAPITOL DR TO W HAMPTON AVE</v>
      </c>
      <c r="G911" s="3" t="str">
        <f>CLEAN("CONST/RECONST NO ADDED CAPACITY")</f>
        <v>CONST/RECONST NO ADDED CAPACITY</v>
      </c>
      <c r="H911" s="2" t="str">
        <f t="shared" si="153"/>
        <v>LOC STR</v>
      </c>
      <c r="I911" s="2" t="str">
        <f t="shared" si="154"/>
        <v>206</v>
      </c>
    </row>
    <row r="912" spans="1:9" x14ac:dyDescent="0.35">
      <c r="A912" s="2" t="str">
        <f t="shared" si="155"/>
        <v>MILWAUKEE</v>
      </c>
      <c r="B912" s="2" t="str">
        <f t="shared" si="156"/>
        <v>CITY OF MILWAUKEE</v>
      </c>
      <c r="C912" s="2" t="s">
        <v>2541</v>
      </c>
      <c r="D912" s="2" t="str">
        <f>CLEAN("2595-08-90")</f>
        <v>2595-08-90</v>
      </c>
      <c r="E912" s="3" t="str">
        <f>CLEAN("N 60TH ST/W HAMPTON AVE")</f>
        <v>N 60TH ST/W HAMPTON AVE</v>
      </c>
      <c r="F912" s="3" t="str">
        <f>CLEAN("11 LOCAL STREET INTERSECTIONS")</f>
        <v>11 LOCAL STREET INTERSECTIONS</v>
      </c>
      <c r="G912" s="3" t="str">
        <f>CLEAN("HSIP  SIGNLS  FLASHRS  SAFETY")</f>
        <v>HSIP  SIGNLS  FLASHRS  SAFETY</v>
      </c>
      <c r="H912" s="2" t="str">
        <f>CLEAN("NON HWY")</f>
        <v>NON HWY</v>
      </c>
      <c r="I912" s="2" t="str">
        <f t="shared" si="154"/>
        <v>206</v>
      </c>
    </row>
    <row r="913" spans="1:9" x14ac:dyDescent="0.35">
      <c r="A913" s="2" t="str">
        <f t="shared" si="155"/>
        <v>MILWAUKEE</v>
      </c>
      <c r="B913" s="2" t="str">
        <f t="shared" si="156"/>
        <v>CITY OF MILWAUKEE</v>
      </c>
      <c r="C913" s="2" t="s">
        <v>2840</v>
      </c>
      <c r="D913" s="2" t="str">
        <f>CLEAN("2615-15-03")</f>
        <v>2615-15-03</v>
      </c>
      <c r="E913" s="3" t="str">
        <f>CLEAN("C MILWAUKEE - S 16TH STREET")</f>
        <v>C MILWAUKEE - S 16TH STREET</v>
      </c>
      <c r="F913" s="3" t="str">
        <f>CLEAN("OVER MENOMONEE RIVER B40-550-14")</f>
        <v>OVER MENOMONEE RIVER B40-550-14</v>
      </c>
      <c r="G913" s="3" t="str">
        <f>CLEAN("PE/FULL PSE/BRRHB")</f>
        <v>PE/FULL PSE/BRRHB</v>
      </c>
      <c r="H913" s="2" t="str">
        <f t="shared" ref="H913:H923" si="157">CLEAN("LOC STR")</f>
        <v>LOC STR</v>
      </c>
      <c r="I913" s="2" t="str">
        <f>CLEAN("205")</f>
        <v>205</v>
      </c>
    </row>
    <row r="914" spans="1:9" x14ac:dyDescent="0.35">
      <c r="A914" s="2" t="str">
        <f t="shared" si="155"/>
        <v>MILWAUKEE</v>
      </c>
      <c r="B914" s="2" t="str">
        <f t="shared" si="156"/>
        <v>CITY OF MILWAUKEE</v>
      </c>
      <c r="C914" s="2" t="s">
        <v>491</v>
      </c>
      <c r="D914" s="2" t="str">
        <f>CLEAN("2615-15-73")</f>
        <v>2615-15-73</v>
      </c>
      <c r="E914" s="3" t="str">
        <f>CLEAN("C MILWAUKEE - 16TH STREET")</f>
        <v>C MILWAUKEE - 16TH STREET</v>
      </c>
      <c r="F914" s="3" t="str">
        <f>CLEAN("OVER MENOMONEE RIVER B40-550-14")</f>
        <v>OVER MENOMONEE RIVER B40-550-14</v>
      </c>
      <c r="G914" s="3" t="str">
        <f>CLEAN("CONST/BRRHB")</f>
        <v>CONST/BRRHB</v>
      </c>
      <c r="H914" s="2" t="str">
        <f t="shared" si="157"/>
        <v>LOC STR</v>
      </c>
      <c r="I914" s="2" t="str">
        <f>CLEAN("205")</f>
        <v>205</v>
      </c>
    </row>
    <row r="915" spans="1:9" x14ac:dyDescent="0.35">
      <c r="A915" s="2" t="str">
        <f t="shared" si="155"/>
        <v>MILWAUKEE</v>
      </c>
      <c r="B915" s="2" t="str">
        <f t="shared" si="156"/>
        <v>CITY OF MILWAUKEE</v>
      </c>
      <c r="C915" s="2" t="s">
        <v>568</v>
      </c>
      <c r="D915" s="2" t="str">
        <f>CLEAN("2645-06-90")</f>
        <v>2645-06-90</v>
      </c>
      <c r="E915" s="3" t="str">
        <f>CLEAN("CITY OF MILW  VAR LOCAL STREETS")</f>
        <v>CITY OF MILW  VAR LOCAL STREETS</v>
      </c>
      <c r="F915" s="3" t="str">
        <f>CLEAN("COUNTDOWN TIMERS 3")</f>
        <v>COUNTDOWN TIMERS 3</v>
      </c>
      <c r="G915" s="3" t="str">
        <f>CLEAN("CONST/HSIP COUNTDOWN TIMERS 3")</f>
        <v>CONST/HSIP COUNTDOWN TIMERS 3</v>
      </c>
      <c r="H915" s="2" t="str">
        <f t="shared" si="157"/>
        <v>LOC STR</v>
      </c>
      <c r="I915" s="2" t="str">
        <f>CLEAN("206")</f>
        <v>206</v>
      </c>
    </row>
    <row r="916" spans="1:9" x14ac:dyDescent="0.35">
      <c r="A916" s="2" t="str">
        <f t="shared" si="155"/>
        <v>MILWAUKEE</v>
      </c>
      <c r="B916" s="2" t="str">
        <f t="shared" si="156"/>
        <v>CITY OF MILWAUKEE</v>
      </c>
      <c r="C916" s="2" t="s">
        <v>577</v>
      </c>
      <c r="D916" s="2" t="str">
        <f>CLEAN("2645-07-90")</f>
        <v>2645-07-90</v>
      </c>
      <c r="E916" s="3" t="str">
        <f>CLEAN("CITY OF MILW  VAR LOCAL STREETS")</f>
        <v>CITY OF MILW  VAR LOCAL STREETS</v>
      </c>
      <c r="F916" s="3" t="str">
        <f>CLEAN("COUNTDOWN TIMERS NO 2")</f>
        <v>COUNTDOWN TIMERS NO 2</v>
      </c>
      <c r="G916" s="3" t="str">
        <f>CLEAN("CONST/HSIP-COUNTDOWN TIMERS NO 2")</f>
        <v>CONST/HSIP-COUNTDOWN TIMERS NO 2</v>
      </c>
      <c r="H916" s="2" t="str">
        <f t="shared" si="157"/>
        <v>LOC STR</v>
      </c>
      <c r="I916" s="2" t="str">
        <f>CLEAN("206")</f>
        <v>206</v>
      </c>
    </row>
    <row r="917" spans="1:9" x14ac:dyDescent="0.35">
      <c r="A917" s="2" t="str">
        <f t="shared" si="155"/>
        <v>MILWAUKEE</v>
      </c>
      <c r="B917" s="2" t="str">
        <f t="shared" si="156"/>
        <v>CITY OF MILWAUKEE</v>
      </c>
      <c r="C917" s="2" t="s">
        <v>2787</v>
      </c>
      <c r="D917" s="2" t="str">
        <f>CLEAN("2652-05-00")</f>
        <v>2652-05-00</v>
      </c>
      <c r="E917" s="3" t="str">
        <f>CLEAN("C MILWAUKEE  WATER ST")</f>
        <v>C MILWAUKEE  WATER ST</v>
      </c>
      <c r="F917" s="3" t="str">
        <f>CLEAN("MILWAUKEE RIVER BRIDGE B40-548")</f>
        <v>MILWAUKEE RIVER BRIDGE B40-548</v>
      </c>
      <c r="G917" s="3" t="str">
        <f>CLEAN("PE/FULL PS/BRRHB")</f>
        <v>PE/FULL PS/BRRHB</v>
      </c>
      <c r="H917" s="2" t="str">
        <f t="shared" si="157"/>
        <v>LOC STR</v>
      </c>
      <c r="I917" s="2" t="str">
        <f>CLEAN("205")</f>
        <v>205</v>
      </c>
    </row>
    <row r="918" spans="1:9" x14ac:dyDescent="0.35">
      <c r="A918" s="2" t="str">
        <f t="shared" si="155"/>
        <v>MILWAUKEE</v>
      </c>
      <c r="B918" s="2" t="str">
        <f t="shared" si="156"/>
        <v>CITY OF MILWAUKEE</v>
      </c>
      <c r="C918" s="2" t="s">
        <v>488</v>
      </c>
      <c r="D918" s="2" t="str">
        <f>CLEAN("2652-05-70")</f>
        <v>2652-05-70</v>
      </c>
      <c r="E918" s="3" t="str">
        <f>CLEAN("C MILWAUKEE  WATER ST")</f>
        <v>C MILWAUKEE  WATER ST</v>
      </c>
      <c r="F918" s="3" t="str">
        <f>CLEAN("MILWAUKEE RIVER BRIDGE B40-548")</f>
        <v>MILWAUKEE RIVER BRIDGE B40-548</v>
      </c>
      <c r="G918" s="3" t="str">
        <f>CLEAN("CONST/BRRHB")</f>
        <v>CONST/BRRHB</v>
      </c>
      <c r="H918" s="2" t="str">
        <f t="shared" si="157"/>
        <v>LOC STR</v>
      </c>
      <c r="I918" s="2" t="str">
        <f>CLEAN("205")</f>
        <v>205</v>
      </c>
    </row>
    <row r="919" spans="1:9" x14ac:dyDescent="0.35">
      <c r="A919" s="2" t="str">
        <f t="shared" si="155"/>
        <v>MILWAUKEE</v>
      </c>
      <c r="B919" s="2" t="str">
        <f t="shared" si="156"/>
        <v>CITY OF MILWAUKEE</v>
      </c>
      <c r="C919" s="2" t="s">
        <v>2643</v>
      </c>
      <c r="D919" s="2" t="str">
        <f>CLEAN("2656-00-02")</f>
        <v>2656-00-02</v>
      </c>
      <c r="E919" s="3" t="str">
        <f>CLEAN("SOUTH 70TH STREET")</f>
        <v>SOUTH 70TH STREET</v>
      </c>
      <c r="F919" s="3" t="str">
        <f>CLEAN("BRIDGE OVER CPRR/HAST (P-40-856)")</f>
        <v>BRIDGE OVER CPRR/HAST (P-40-856)</v>
      </c>
      <c r="G919" s="3" t="str">
        <f>CLEAN("PE/BRIDGE REPLACEMENT")</f>
        <v>PE/BRIDGE REPLACEMENT</v>
      </c>
      <c r="H919" s="2" t="str">
        <f t="shared" si="157"/>
        <v>LOC STR</v>
      </c>
      <c r="I919" s="2" t="str">
        <f>CLEAN("205")</f>
        <v>205</v>
      </c>
    </row>
    <row r="920" spans="1:9" x14ac:dyDescent="0.35">
      <c r="A920" s="2" t="str">
        <f t="shared" si="155"/>
        <v>MILWAUKEE</v>
      </c>
      <c r="B920" s="2" t="str">
        <f t="shared" si="156"/>
        <v>CITY OF MILWAUKEE</v>
      </c>
      <c r="C920" s="2" t="s">
        <v>417</v>
      </c>
      <c r="D920" s="2" t="str">
        <f>CLEAN("2656-00-72")</f>
        <v>2656-00-72</v>
      </c>
      <c r="E920" s="3" t="str">
        <f>CLEAN("C MILWAUKEE S 70TH STREET")</f>
        <v>C MILWAUKEE S 70TH STREET</v>
      </c>
      <c r="F920" s="3" t="str">
        <f>CLEAN("BRIDGE OVER CP RR/HAST P-40-856")</f>
        <v>BRIDGE OVER CP RR/HAST P-40-856</v>
      </c>
      <c r="G920" s="3" t="str">
        <f>CLEAN("CONST/BRIDGE REPLACEMENT")</f>
        <v>CONST/BRIDGE REPLACEMENT</v>
      </c>
      <c r="H920" s="2" t="str">
        <f t="shared" si="157"/>
        <v>LOC STR</v>
      </c>
      <c r="I920" s="2" t="str">
        <f>CLEAN("205")</f>
        <v>205</v>
      </c>
    </row>
    <row r="921" spans="1:9" x14ac:dyDescent="0.35">
      <c r="A921" s="2" t="str">
        <f t="shared" si="155"/>
        <v>MILWAUKEE</v>
      </c>
      <c r="B921" s="2" t="str">
        <f t="shared" si="156"/>
        <v>CITY OF MILWAUKEE</v>
      </c>
      <c r="C921" s="2" t="s">
        <v>755</v>
      </c>
      <c r="D921" s="2" t="str">
        <f>CLEAN("2667-03-71")</f>
        <v>2667-03-71</v>
      </c>
      <c r="E921" s="3" t="str">
        <f>CLEAN("N HUMBOLDT BLVD")</f>
        <v>N HUMBOLDT BLVD</v>
      </c>
      <c r="F921" s="3" t="str">
        <f>CLEAN("E NORTH AVE TO E KEEFE AVE")</f>
        <v>E NORTH AVE TO E KEEFE AVE</v>
      </c>
      <c r="G921" s="3" t="str">
        <f>CLEAN("CONST/RECONST WITH NO ADDL LANES")</f>
        <v>CONST/RECONST WITH NO ADDL LANES</v>
      </c>
      <c r="H921" s="2" t="str">
        <f t="shared" si="157"/>
        <v>LOC STR</v>
      </c>
      <c r="I921" s="2" t="str">
        <f>CLEAN("206")</f>
        <v>206</v>
      </c>
    </row>
    <row r="922" spans="1:9" x14ac:dyDescent="0.35">
      <c r="A922" s="2" t="str">
        <f t="shared" si="155"/>
        <v>MILWAUKEE</v>
      </c>
      <c r="B922" s="2" t="str">
        <f t="shared" si="156"/>
        <v>CITY OF MILWAUKEE</v>
      </c>
      <c r="C922" s="2" t="s">
        <v>2943</v>
      </c>
      <c r="D922" s="2" t="str">
        <f>CLEAN("2674-02-00")</f>
        <v>2674-02-00</v>
      </c>
      <c r="E922" s="3" t="str">
        <f>CLEAN("WEST WALNUT STREET")</f>
        <v>WEST WALNUT STREET</v>
      </c>
      <c r="F922" s="3" t="str">
        <f>CLEAN("N 20TH STREET TO N 12TH STREET")</f>
        <v>N 20TH STREET TO N 12TH STREET</v>
      </c>
      <c r="G922" s="3" t="str">
        <f>CLEAN("PE/RECONSTRUCT  NO ADDL LANES")</f>
        <v>PE/RECONSTRUCT  NO ADDL LANES</v>
      </c>
      <c r="H922" s="2" t="str">
        <f t="shared" si="157"/>
        <v>LOC STR</v>
      </c>
      <c r="I922" s="2" t="str">
        <f>CLEAN("206")</f>
        <v>206</v>
      </c>
    </row>
    <row r="923" spans="1:9" x14ac:dyDescent="0.35">
      <c r="A923" s="2" t="str">
        <f t="shared" si="155"/>
        <v>MILWAUKEE</v>
      </c>
      <c r="B923" s="2" t="str">
        <f t="shared" si="156"/>
        <v>CITY OF MILWAUKEE</v>
      </c>
      <c r="C923" s="2" t="s">
        <v>798</v>
      </c>
      <c r="D923" s="2" t="str">
        <f>CLEAN("2674-02-70")</f>
        <v>2674-02-70</v>
      </c>
      <c r="E923" s="3" t="str">
        <f>CLEAN("C MILWAUKEE W WALNUT STREET")</f>
        <v>C MILWAUKEE W WALNUT STREET</v>
      </c>
      <c r="F923" s="3" t="str">
        <f>CLEAN("N 20TH STREET TO N 12TH STREET")</f>
        <v>N 20TH STREET TO N 12TH STREET</v>
      </c>
      <c r="G923" s="3" t="str">
        <f>CLEAN("CONST/RECONSTRUCT NO ADD'L LANES")</f>
        <v>CONST/RECONSTRUCT NO ADD'L LANES</v>
      </c>
      <c r="H923" s="2" t="str">
        <f t="shared" si="157"/>
        <v>LOC STR</v>
      </c>
      <c r="I923" s="2" t="str">
        <f>CLEAN("206")</f>
        <v>206</v>
      </c>
    </row>
    <row r="924" spans="1:9" x14ac:dyDescent="0.35">
      <c r="A924" s="2" t="str">
        <f t="shared" si="155"/>
        <v>MILWAUKEE</v>
      </c>
      <c r="B924" s="2" t="str">
        <f t="shared" si="156"/>
        <v>CITY OF MILWAUKEE</v>
      </c>
      <c r="C924" s="2" t="s">
        <v>2561</v>
      </c>
      <c r="D924" s="2" t="str">
        <f>CLEAN("2967-00-91")</f>
        <v>2967-00-91</v>
      </c>
      <c r="E924" s="3" t="str">
        <f>CLEAN("INSTALL TRAFFIC SIGNAL FACE 12-INCH")</f>
        <v>INSTALL TRAFFIC SIGNAL FACE 12-INCH</v>
      </c>
      <c r="F924" s="3" t="str">
        <f>CLEAN("28 CONNECTING HIGHWAY INTERSECTIONS")</f>
        <v>28 CONNECTING HIGHWAY INTERSECTIONS</v>
      </c>
      <c r="G924" s="3" t="str">
        <f>CLEAN("LFA / INSTALL TRAFFIC SIGNAL FACES")</f>
        <v>LFA / INSTALL TRAFFIC SIGNAL FACES</v>
      </c>
      <c r="H924" s="2" t="str">
        <f>CLEAN("VAR HWY")</f>
        <v>VAR HWY</v>
      </c>
      <c r="I924" s="2" t="str">
        <f>CLEAN("305")</f>
        <v>305</v>
      </c>
    </row>
    <row r="925" spans="1:9" x14ac:dyDescent="0.35">
      <c r="A925" s="2" t="str">
        <f t="shared" si="155"/>
        <v>MILWAUKEE</v>
      </c>
      <c r="B925" s="2" t="str">
        <f t="shared" si="156"/>
        <v>CITY OF MILWAUKEE</v>
      </c>
      <c r="C925" s="2" t="s">
        <v>40</v>
      </c>
      <c r="D925" s="2" t="str">
        <f>CLEAN("2967-00-92")</f>
        <v>2967-00-92</v>
      </c>
      <c r="E925" s="3" t="str">
        <f>CLEAN("COUNTDOWN TIMERS 6  C OF MILWAUKEE")</f>
        <v>COUNTDOWN TIMERS 6  C OF MILWAUKEE</v>
      </c>
      <c r="F925" s="3" t="str">
        <f>CLEAN("106 CONNECTING HWY INTERSECTIONS")</f>
        <v>106 CONNECTING HWY INTERSECTIONS</v>
      </c>
      <c r="G925" s="3" t="str">
        <f>CLEAN("CONST / COUNTDOWN TIMERS")</f>
        <v>CONST / COUNTDOWN TIMERS</v>
      </c>
      <c r="H925" s="2" t="str">
        <f>CLEAN("VAR HWY")</f>
        <v>VAR HWY</v>
      </c>
      <c r="I925" s="2" t="str">
        <f>CLEAN("305")</f>
        <v>305</v>
      </c>
    </row>
    <row r="926" spans="1:9" x14ac:dyDescent="0.35">
      <c r="A926" s="2" t="str">
        <f t="shared" si="155"/>
        <v>MILWAUKEE</v>
      </c>
      <c r="B926" s="2" t="str">
        <f t="shared" si="156"/>
        <v>CITY OF MILWAUKEE</v>
      </c>
      <c r="C926" s="2" t="s">
        <v>385</v>
      </c>
      <c r="D926" s="2" t="str">
        <f>CLEAN("2967-17-71")</f>
        <v>2967-17-71</v>
      </c>
      <c r="E926" s="3" t="str">
        <f>CLEAN("C MILWAUKEE N 76TH ST")</f>
        <v>C MILWAUKEE N 76TH ST</v>
      </c>
      <c r="F926" s="3" t="str">
        <f>CLEAN("BRIDGE OVER UPC RR B40-380/1")</f>
        <v>BRIDGE OVER UPC RR B40-380/1</v>
      </c>
      <c r="G926" s="3" t="str">
        <f>CLEAN("CONST/BRIDGE REHAB")</f>
        <v>CONST/BRIDGE REHAB</v>
      </c>
      <c r="H926" s="2" t="str">
        <f>CLEAN("STH 181")</f>
        <v>STH 181</v>
      </c>
      <c r="I926" s="2" t="str">
        <f>CLEAN("303")</f>
        <v>303</v>
      </c>
    </row>
    <row r="927" spans="1:9" x14ac:dyDescent="0.35">
      <c r="A927" s="2" t="str">
        <f t="shared" si="155"/>
        <v>MILWAUKEE</v>
      </c>
      <c r="B927" s="2" t="str">
        <f t="shared" si="156"/>
        <v>CITY OF MILWAUKEE</v>
      </c>
      <c r="C927" s="2" t="s">
        <v>2847</v>
      </c>
      <c r="D927" s="2" t="str">
        <f>CLEAN("2967-22-03")</f>
        <v>2967-22-03</v>
      </c>
      <c r="E927" s="3" t="str">
        <f>CLEAN("KINNICKINIC RIVER TRAIL EXTENSION")</f>
        <v>KINNICKINIC RIVER TRAIL EXTENSION</v>
      </c>
      <c r="F927" s="3" t="str">
        <f>CLEAN("16TH-6TH ST &amp; PULASKI PARK-MANITOBA")</f>
        <v>16TH-6TH ST &amp; PULASKI PARK-MANITOBA</v>
      </c>
      <c r="G927" s="3" t="str">
        <f>CLEAN("PE/FULL PSE/MISC")</f>
        <v>PE/FULL PSE/MISC</v>
      </c>
      <c r="H927" s="2" t="str">
        <f>CLEAN("NON HWY")</f>
        <v>NON HWY</v>
      </c>
      <c r="I927" s="2" t="str">
        <f>CLEAN("290")</f>
        <v>290</v>
      </c>
    </row>
    <row r="928" spans="1:9" x14ac:dyDescent="0.35">
      <c r="A928" s="2" t="str">
        <f t="shared" si="155"/>
        <v>MILWAUKEE</v>
      </c>
      <c r="B928" s="2" t="str">
        <f t="shared" si="156"/>
        <v>CITY OF MILWAUKEE</v>
      </c>
      <c r="C928" s="2" t="s">
        <v>2825</v>
      </c>
      <c r="D928" s="2" t="str">
        <f>CLEAN("2978-09-00")</f>
        <v>2978-09-00</v>
      </c>
      <c r="E928" s="3" t="str">
        <f>CLEAN("BEERLINE TRAIL EXTENSION")</f>
        <v>BEERLINE TRAIL EXTENSION</v>
      </c>
      <c r="F928" s="3" t="str">
        <f>CLEAN("CAPITOL DR TO 20TH ST WE ENRGS CORR")</f>
        <v>CAPITOL DR TO 20TH ST WE ENRGS CORR</v>
      </c>
      <c r="G928" s="3" t="str">
        <f>CLEAN("PE/FULL PSE/BIKE/PED TRAIL")</f>
        <v>PE/FULL PSE/BIKE/PED TRAIL</v>
      </c>
      <c r="H928" s="2" t="str">
        <f>CLEAN("NON HWY")</f>
        <v>NON HWY</v>
      </c>
      <c r="I928" s="2" t="str">
        <f>CLEAN("211")</f>
        <v>211</v>
      </c>
    </row>
    <row r="929" spans="1:9" x14ac:dyDescent="0.35">
      <c r="A929" s="2" t="str">
        <f t="shared" si="155"/>
        <v>MILWAUKEE</v>
      </c>
      <c r="B929" s="2" t="str">
        <f t="shared" si="156"/>
        <v>CITY OF MILWAUKEE</v>
      </c>
      <c r="C929" s="2" t="s">
        <v>2950</v>
      </c>
      <c r="D929" s="2" t="str">
        <f>CLEAN("2984-00-03")</f>
        <v>2984-00-03</v>
      </c>
      <c r="E929" s="3" t="str">
        <f>CLEAN("WEST VLIET STREET")</f>
        <v>WEST VLIET STREET</v>
      </c>
      <c r="F929" s="3" t="str">
        <f>CLEAN("N 27TH STREET TO N 12TH STREET")</f>
        <v>N 27TH STREET TO N 12TH STREET</v>
      </c>
      <c r="G929" s="3" t="str">
        <f>CLEAN("PE/RECONSTRUCT W/ NO ADDL LANES")</f>
        <v>PE/RECONSTRUCT W/ NO ADDL LANES</v>
      </c>
      <c r="H929" s="2" t="str">
        <f>CLEAN("LOC STR")</f>
        <v>LOC STR</v>
      </c>
      <c r="I929" s="2" t="str">
        <f>CLEAN("206")</f>
        <v>206</v>
      </c>
    </row>
    <row r="930" spans="1:9" x14ac:dyDescent="0.35">
      <c r="A930" s="2" t="str">
        <f t="shared" si="155"/>
        <v>MILWAUKEE</v>
      </c>
      <c r="B930" s="2" t="str">
        <f t="shared" si="156"/>
        <v>CITY OF MILWAUKEE</v>
      </c>
      <c r="C930" s="2" t="s">
        <v>2897</v>
      </c>
      <c r="D930" s="2" t="str">
        <f>CLEAN("2984-00-05")</f>
        <v>2984-00-05</v>
      </c>
      <c r="E930" s="3" t="str">
        <f>CLEAN("CITYWIDE BICYCLE PARKING PROGRAM")</f>
        <v>CITYWIDE BICYCLE PARKING PROGRAM</v>
      </c>
      <c r="F930" s="3" t="str">
        <f>CLEAN("VARIOUS LOCATIONS")</f>
        <v>VARIOUS LOCATIONS</v>
      </c>
      <c r="G930" s="3" t="str">
        <f>CLEAN("PE/INSTALL PARKING FOR BIKES")</f>
        <v>PE/INSTALL PARKING FOR BIKES</v>
      </c>
      <c r="H930" s="2" t="str">
        <f>CLEAN("NON HWY")</f>
        <v>NON HWY</v>
      </c>
      <c r="I930" s="2" t="str">
        <f>CLEAN("290")</f>
        <v>290</v>
      </c>
    </row>
    <row r="931" spans="1:9" x14ac:dyDescent="0.35">
      <c r="A931" s="2" t="str">
        <f t="shared" si="155"/>
        <v>MILWAUKEE</v>
      </c>
      <c r="B931" s="2" t="str">
        <f t="shared" si="156"/>
        <v>CITY OF MILWAUKEE</v>
      </c>
      <c r="C931" s="2" t="s">
        <v>803</v>
      </c>
      <c r="D931" s="2" t="str">
        <f>CLEAN("2984-00-73")</f>
        <v>2984-00-73</v>
      </c>
      <c r="E931" s="3" t="str">
        <f>CLEAN("WEST VLIET STREET")</f>
        <v>WEST VLIET STREET</v>
      </c>
      <c r="F931" s="3" t="str">
        <f>CLEAN("N 27TH STREET TO N 12TH STREET")</f>
        <v>N 27TH STREET TO N 12TH STREET</v>
      </c>
      <c r="G931" s="3" t="str">
        <f>CLEAN("CONST/RECONSTRUCT W/ NO ADDL LANES")</f>
        <v>CONST/RECONSTRUCT W/ NO ADDL LANES</v>
      </c>
      <c r="H931" s="2" t="str">
        <f>CLEAN("LOC STR")</f>
        <v>LOC STR</v>
      </c>
      <c r="I931" s="2" t="str">
        <f>CLEAN("206")</f>
        <v>206</v>
      </c>
    </row>
    <row r="932" spans="1:9" x14ac:dyDescent="0.35">
      <c r="A932" s="2" t="str">
        <f t="shared" si="155"/>
        <v>MILWAUKEE</v>
      </c>
      <c r="B932" s="2" t="str">
        <f t="shared" si="156"/>
        <v>CITY OF MILWAUKEE</v>
      </c>
      <c r="C932" s="2" t="s">
        <v>771</v>
      </c>
      <c r="D932" s="2" t="str">
        <f>CLEAN("2984-00-74")</f>
        <v>2984-00-74</v>
      </c>
      <c r="E932" s="3" t="str">
        <f>CLEAN("C MILWAUKEE  W VLIET STREET")</f>
        <v>C MILWAUKEE  W VLIET STREET</v>
      </c>
      <c r="F932" s="3" t="str">
        <f>CLEAN("N 27TH STREET TO N 12TH STREET")</f>
        <v>N 27TH STREET TO N 12TH STREET</v>
      </c>
      <c r="G932" s="3" t="str">
        <f>CLEAN("CONST/RECONSTRUCT")</f>
        <v>CONST/RECONSTRUCT</v>
      </c>
      <c r="H932" s="2" t="str">
        <f>CLEAN("LOC STR")</f>
        <v>LOC STR</v>
      </c>
      <c r="I932" s="2" t="str">
        <f>CLEAN("206")</f>
        <v>206</v>
      </c>
    </row>
    <row r="933" spans="1:9" x14ac:dyDescent="0.35">
      <c r="A933" s="2" t="str">
        <f t="shared" si="155"/>
        <v>MILWAUKEE</v>
      </c>
      <c r="B933" s="2" t="str">
        <f t="shared" si="156"/>
        <v>CITY OF MILWAUKEE</v>
      </c>
      <c r="C933" s="2" t="s">
        <v>1075</v>
      </c>
      <c r="D933" s="2" t="str">
        <f>CLEAN("2984-01-79")</f>
        <v>2984-01-79</v>
      </c>
      <c r="E933" s="3" t="str">
        <f>CLEAN("C MILWAUKEE  N 51ST ST")</f>
        <v>C MILWAUKEE  N 51ST ST</v>
      </c>
      <c r="F933" s="3" t="str">
        <f>CLEAN("AT BURLEIGH AND CENTER")</f>
        <v>AT BURLEIGH AND CENTER</v>
      </c>
      <c r="G933" s="3" t="str">
        <f>CLEAN("CONST/TRAFFIC SIGNALS")</f>
        <v>CONST/TRAFFIC SIGNALS</v>
      </c>
      <c r="H933" s="2" t="str">
        <f>CLEAN("LOC STR")</f>
        <v>LOC STR</v>
      </c>
      <c r="I933" s="2" t="str">
        <f>CLEAN("206")</f>
        <v>206</v>
      </c>
    </row>
    <row r="934" spans="1:9" x14ac:dyDescent="0.35">
      <c r="A934" s="2" t="str">
        <f t="shared" si="155"/>
        <v>MILWAUKEE</v>
      </c>
      <c r="B934" s="2" t="str">
        <f t="shared" si="156"/>
        <v>CITY OF MILWAUKEE</v>
      </c>
      <c r="C934" s="2" t="s">
        <v>580</v>
      </c>
      <c r="D934" s="2" t="str">
        <f>CLEAN("2984-04-77")</f>
        <v>2984-04-77</v>
      </c>
      <c r="E934" s="3" t="str">
        <f>CLEAN("VARIOUS LOCATIONS")</f>
        <v>VARIOUS LOCATIONS</v>
      </c>
      <c r="F934" s="3" t="str">
        <f>CLEAN("3 LOCAL INTERSECTIONS")</f>
        <v>3 LOCAL INTERSECTIONS</v>
      </c>
      <c r="G934" s="3" t="str">
        <f>CLEAN("CONST/INSTALL TRAF SIGNAL/FLASHERS")</f>
        <v>CONST/INSTALL TRAF SIGNAL/FLASHERS</v>
      </c>
      <c r="H934" s="2" t="str">
        <f>CLEAN("VAR HWY")</f>
        <v>VAR HWY</v>
      </c>
      <c r="I934" s="2" t="str">
        <f>CLEAN("206")</f>
        <v>206</v>
      </c>
    </row>
    <row r="935" spans="1:9" x14ac:dyDescent="0.35">
      <c r="A935" s="2" t="str">
        <f t="shared" si="155"/>
        <v>MILWAUKEE</v>
      </c>
      <c r="B935" s="2" t="str">
        <f t="shared" si="156"/>
        <v>CITY OF MILWAUKEE</v>
      </c>
      <c r="C935" s="2" t="s">
        <v>1081</v>
      </c>
      <c r="D935" s="2" t="str">
        <f>CLEAN("2984-04-91")</f>
        <v>2984-04-91</v>
      </c>
      <c r="E935" s="3" t="str">
        <f>CLEAN("VARIOUS HIGHWAYS")</f>
        <v>VARIOUS HIGHWAYS</v>
      </c>
      <c r="F935" s="3" t="str">
        <f>CLEAN("3 CONNECTING HWY INTERSECTIONS")</f>
        <v>3 CONNECTING HWY INTERSECTIONS</v>
      </c>
      <c r="G935" s="3" t="str">
        <f>CLEAN("CONST/TRAFFIC SIGNALS/FLASHERS")</f>
        <v>CONST/TRAFFIC SIGNALS/FLASHERS</v>
      </c>
      <c r="H935" s="2" t="str">
        <f>CLEAN("VAR HWY")</f>
        <v>VAR HWY</v>
      </c>
      <c r="I935" s="2" t="str">
        <f>CLEAN("305")</f>
        <v>305</v>
      </c>
    </row>
    <row r="936" spans="1:9" x14ac:dyDescent="0.35">
      <c r="A936" s="2" t="str">
        <f t="shared" si="155"/>
        <v>MILWAUKEE</v>
      </c>
      <c r="B936" s="2" t="str">
        <f t="shared" si="156"/>
        <v>CITY OF MILWAUKEE</v>
      </c>
      <c r="C936" s="2" t="s">
        <v>416</v>
      </c>
      <c r="D936" s="2" t="str">
        <f>CLEAN("2984-06-76")</f>
        <v>2984-06-76</v>
      </c>
      <c r="E936" s="3" t="str">
        <f>CLEAN("WEST BROWN STREET")</f>
        <v>WEST BROWN STREET</v>
      </c>
      <c r="F936" s="3" t="str">
        <f>CLEAN("BRIDGE OVER CP RR (P-40-0925)")</f>
        <v>BRIDGE OVER CP RR (P-40-0925)</v>
      </c>
      <c r="G936" s="3" t="str">
        <f>CLEAN("CONST/BRIDGE REPLACEMENT")</f>
        <v>CONST/BRIDGE REPLACEMENT</v>
      </c>
      <c r="H936" s="2" t="str">
        <f>CLEAN("LOC STR")</f>
        <v>LOC STR</v>
      </c>
      <c r="I936" s="2" t="str">
        <f>CLEAN("205")</f>
        <v>205</v>
      </c>
    </row>
    <row r="937" spans="1:9" x14ac:dyDescent="0.35">
      <c r="A937" s="2" t="str">
        <f t="shared" si="155"/>
        <v>MILWAUKEE</v>
      </c>
      <c r="B937" s="2" t="str">
        <f t="shared" si="156"/>
        <v>CITY OF MILWAUKEE</v>
      </c>
      <c r="C937" s="2" t="s">
        <v>869</v>
      </c>
      <c r="D937" s="2" t="str">
        <f>CLEAN("2984-06-79")</f>
        <v>2984-06-79</v>
      </c>
      <c r="E937" s="3" t="str">
        <f>CLEAN("ROAD DIET  CITY OF MILWAUKEE")</f>
        <v>ROAD DIET  CITY OF MILWAUKEE</v>
      </c>
      <c r="F937" s="3" t="str">
        <f>CLEAN("6 LOCAL STREETS  PER PROJECT APPL")</f>
        <v>6 LOCAL STREETS  PER PROJECT APPL</v>
      </c>
      <c r="G937" s="3" t="str">
        <f>CLEAN("CONST/REDUCE THROUGH LANES")</f>
        <v>CONST/REDUCE THROUGH LANES</v>
      </c>
      <c r="H937" s="2" t="str">
        <f>CLEAN("VAR HWY")</f>
        <v>VAR HWY</v>
      </c>
      <c r="I937" s="2" t="str">
        <f>CLEAN("206")</f>
        <v>206</v>
      </c>
    </row>
    <row r="938" spans="1:9" x14ac:dyDescent="0.35">
      <c r="A938" s="2" t="str">
        <f t="shared" si="155"/>
        <v>MILWAUKEE</v>
      </c>
      <c r="B938" s="2" t="str">
        <f t="shared" si="156"/>
        <v>CITY OF MILWAUKEE</v>
      </c>
      <c r="C938" s="2" t="s">
        <v>428</v>
      </c>
      <c r="D938" s="2" t="str">
        <f>CLEAN("2984-07-75")</f>
        <v>2984-07-75</v>
      </c>
      <c r="E938" s="3" t="str">
        <f>CLEAN("NORTH 51ST BLVD")</f>
        <v>NORTH 51ST BLVD</v>
      </c>
      <c r="F938" s="3" t="str">
        <f>CLEAN("BRIDGE OVR LINCOLN CREEEK B-40-0923")</f>
        <v>BRIDGE OVR LINCOLN CREEEK B-40-0923</v>
      </c>
      <c r="G938" s="3" t="str">
        <f>CLEAN("CONST/BRIDGE REPLACEMENT")</f>
        <v>CONST/BRIDGE REPLACEMENT</v>
      </c>
      <c r="H938" s="2" t="str">
        <f t="shared" ref="H938:H943" si="158">CLEAN("LOC STR")</f>
        <v>LOC STR</v>
      </c>
      <c r="I938" s="2" t="str">
        <f>CLEAN("205")</f>
        <v>205</v>
      </c>
    </row>
    <row r="939" spans="1:9" x14ac:dyDescent="0.35">
      <c r="A939" s="2" t="str">
        <f t="shared" si="155"/>
        <v>MILWAUKEE</v>
      </c>
      <c r="B939" s="2" t="str">
        <f t="shared" si="156"/>
        <v>CITY OF MILWAUKEE</v>
      </c>
      <c r="C939" s="2" t="s">
        <v>579</v>
      </c>
      <c r="D939" s="2" t="str">
        <f>CLEAN("2984-09-94")</f>
        <v>2984-09-94</v>
      </c>
      <c r="E939" s="3" t="str">
        <f>CLEAN("INSTALL TRAFFIC SIGNAL FACE 12-INCH")</f>
        <v>INSTALL TRAFFIC SIGNAL FACE 12-INCH</v>
      </c>
      <c r="F939" s="3" t="str">
        <f>CLEAN("80 LOCAL INTER PER PROJ APPLICATION")</f>
        <v>80 LOCAL INTER PER PROJ APPLICATION</v>
      </c>
      <c r="G939" s="3" t="str">
        <f>CLEAN("CONST/INSTALL SIGNAL FACES")</f>
        <v>CONST/INSTALL SIGNAL FACES</v>
      </c>
      <c r="H939" s="2" t="str">
        <f t="shared" si="158"/>
        <v>LOC STR</v>
      </c>
      <c r="I939" s="2" t="str">
        <f>CLEAN("206")</f>
        <v>206</v>
      </c>
    </row>
    <row r="940" spans="1:9" x14ac:dyDescent="0.35">
      <c r="A940" s="2" t="str">
        <f t="shared" si="155"/>
        <v>MILWAUKEE</v>
      </c>
      <c r="B940" s="2" t="str">
        <f t="shared" si="156"/>
        <v>CITY OF MILWAUKEE</v>
      </c>
      <c r="C940" s="2" t="s">
        <v>578</v>
      </c>
      <c r="D940" s="2" t="str">
        <f>CLEAN("2984-09-97")</f>
        <v>2984-09-97</v>
      </c>
      <c r="E940" s="3" t="str">
        <f>CLEAN("INSTALL TRAFFIC SIGNAL FACE 12-INCH")</f>
        <v>INSTALL TRAFFIC SIGNAL FACE 12-INCH</v>
      </c>
      <c r="F940" s="3" t="str">
        <f>CLEAN("72 LOCAL INTER PER PROJ APPLICATION")</f>
        <v>72 LOCAL INTER PER PROJ APPLICATION</v>
      </c>
      <c r="G940" s="3" t="str">
        <f>CLEAN("CONST/INSTALL SIGNAL FACES")</f>
        <v>CONST/INSTALL SIGNAL FACES</v>
      </c>
      <c r="H940" s="2" t="str">
        <f t="shared" si="158"/>
        <v>LOC STR</v>
      </c>
      <c r="I940" s="2" t="str">
        <f>CLEAN("206")</f>
        <v>206</v>
      </c>
    </row>
    <row r="941" spans="1:9" x14ac:dyDescent="0.35">
      <c r="A941" s="2" t="str">
        <f t="shared" si="155"/>
        <v>MILWAUKEE</v>
      </c>
      <c r="B941" s="2" t="str">
        <f t="shared" si="156"/>
        <v>CITY OF MILWAUKEE</v>
      </c>
      <c r="C941" s="2" t="s">
        <v>2637</v>
      </c>
      <c r="D941" s="2" t="str">
        <f>CLEAN("2984-12-73")</f>
        <v>2984-12-73</v>
      </c>
      <c r="E941" s="3" t="str">
        <f>CLEAN("C MILWAUKEE  N HOLTON ST PHASE 1")</f>
        <v>C MILWAUKEE  N HOLTON ST PHASE 1</v>
      </c>
      <c r="F941" s="3" t="str">
        <f>CLEAN("BR OVER MILW RVR  COMMERCE  WATER")</f>
        <v>BR OVER MILW RVR  COMMERCE  WATER</v>
      </c>
      <c r="G941" s="3" t="str">
        <f>CLEAN("PE/BRIDGE REHABILITATION/P-40-0875")</f>
        <v>PE/BRIDGE REHABILITATION/P-40-0875</v>
      </c>
      <c r="H941" s="2" t="str">
        <f t="shared" si="158"/>
        <v>LOC STR</v>
      </c>
      <c r="I941" s="2" t="str">
        <f>CLEAN("205")</f>
        <v>205</v>
      </c>
    </row>
    <row r="942" spans="1:9" x14ac:dyDescent="0.35">
      <c r="A942" s="2" t="str">
        <f t="shared" si="155"/>
        <v>MILWAUKEE</v>
      </c>
      <c r="B942" s="2" t="str">
        <f t="shared" si="156"/>
        <v>CITY OF MILWAUKEE</v>
      </c>
      <c r="C942" s="2" t="s">
        <v>396</v>
      </c>
      <c r="D942" s="2" t="str">
        <f>CLEAN("2984-12-74")</f>
        <v>2984-12-74</v>
      </c>
      <c r="E942" s="3" t="str">
        <f>CLEAN("C MILWAUKEE  N HOLTON ST PHASE 2")</f>
        <v>C MILWAUKEE  N HOLTON ST PHASE 2</v>
      </c>
      <c r="F942" s="3" t="str">
        <f>CLEAN("BR OVER MILW RVR  COMMERCE  WATER")</f>
        <v>BR OVER MILW RVR  COMMERCE  WATER</v>
      </c>
      <c r="G942" s="3" t="str">
        <f>CLEAN("CONST/BRIDGE REHABILITATION/P400875")</f>
        <v>CONST/BRIDGE REHABILITATION/P400875</v>
      </c>
      <c r="H942" s="2" t="str">
        <f t="shared" si="158"/>
        <v>LOC STR</v>
      </c>
      <c r="I942" s="2" t="str">
        <f>CLEAN("205")</f>
        <v>205</v>
      </c>
    </row>
    <row r="943" spans="1:9" x14ac:dyDescent="0.35">
      <c r="A943" s="2" t="str">
        <f t="shared" si="155"/>
        <v>MILWAUKEE</v>
      </c>
      <c r="B943" s="2" t="str">
        <f t="shared" si="156"/>
        <v>CITY OF MILWAUKEE</v>
      </c>
      <c r="C943" s="2" t="s">
        <v>394</v>
      </c>
      <c r="D943" s="2" t="str">
        <f>CLEAN("2984-12-75")</f>
        <v>2984-12-75</v>
      </c>
      <c r="E943" s="3" t="str">
        <f>CLEAN("C MILWAUKEE  N HOLTON ST PHASE 3")</f>
        <v>C MILWAUKEE  N HOLTON ST PHASE 3</v>
      </c>
      <c r="F943" s="3" t="str">
        <f>CLEAN("BR OVR MILW RIVER  COMMERCE  WATER")</f>
        <v>BR OVR MILW RIVER  COMMERCE  WATER</v>
      </c>
      <c r="G943" s="3" t="str">
        <f>CLEAN("CONST/BRIDGE REHAB/P40-0875")</f>
        <v>CONST/BRIDGE REHAB/P40-0875</v>
      </c>
      <c r="H943" s="2" t="str">
        <f t="shared" si="158"/>
        <v>LOC STR</v>
      </c>
      <c r="I943" s="2" t="str">
        <f>CLEAN("205")</f>
        <v>205</v>
      </c>
    </row>
    <row r="944" spans="1:9" x14ac:dyDescent="0.35">
      <c r="A944" s="2" t="str">
        <f t="shared" si="155"/>
        <v>MILWAUKEE</v>
      </c>
      <c r="B944" s="2" t="str">
        <f t="shared" si="156"/>
        <v>CITY OF MILWAUKEE</v>
      </c>
      <c r="C944" s="2" t="s">
        <v>2966</v>
      </c>
      <c r="D944" s="2" t="str">
        <f>CLEAN("2984-13-03")</f>
        <v>2984-13-03</v>
      </c>
      <c r="E944" s="3" t="str">
        <f>CLEAN("SRTS IMPLEMENTATION PHASE I")</f>
        <v>SRTS IMPLEMENTATION PHASE I</v>
      </c>
      <c r="F944" s="3" t="str">
        <f>CLEAN("CITY OF MILWAUKEE")</f>
        <v>CITY OF MILWAUKEE</v>
      </c>
      <c r="G944" s="3" t="str">
        <f>CLEAN("PE/SAFE ROUTE TO SCHOOL PROGRAM")</f>
        <v>PE/SAFE ROUTE TO SCHOOL PROGRAM</v>
      </c>
      <c r="H944" s="2" t="str">
        <f>CLEAN("NON HWY")</f>
        <v>NON HWY</v>
      </c>
      <c r="I944" s="2" t="str">
        <f>CLEAN("290")</f>
        <v>290</v>
      </c>
    </row>
    <row r="945" spans="1:9" x14ac:dyDescent="0.35">
      <c r="A945" s="2" t="str">
        <f t="shared" si="155"/>
        <v>MILWAUKEE</v>
      </c>
      <c r="B945" s="2" t="str">
        <f t="shared" si="156"/>
        <v>CITY OF MILWAUKEE</v>
      </c>
      <c r="C945" s="2" t="s">
        <v>2893</v>
      </c>
      <c r="D945" s="2" t="str">
        <f>CLEAN("2984-13-04")</f>
        <v>2984-13-04</v>
      </c>
      <c r="E945" s="3" t="str">
        <f>CLEAN("W CENTER STREET")</f>
        <v>W CENTER STREET</v>
      </c>
      <c r="F945" s="3" t="str">
        <f>CLEAN("INTS W/ W LISBON AVE &amp; N 60TH ST")</f>
        <v>INTS W/ W LISBON AVE &amp; N 60TH ST</v>
      </c>
      <c r="G945" s="3" t="str">
        <f>CLEAN("PE/HSIP/INTERSECT IMPROVEMENTS")</f>
        <v>PE/HSIP/INTERSECT IMPROVEMENTS</v>
      </c>
      <c r="H945" s="2" t="str">
        <f>CLEAN("LOC STR")</f>
        <v>LOC STR</v>
      </c>
      <c r="I945" s="2" t="str">
        <f>CLEAN("206")</f>
        <v>206</v>
      </c>
    </row>
    <row r="946" spans="1:9" x14ac:dyDescent="0.35">
      <c r="A946" s="2" t="str">
        <f t="shared" si="155"/>
        <v>MILWAUKEE</v>
      </c>
      <c r="B946" s="2" t="str">
        <f t="shared" si="156"/>
        <v>CITY OF MILWAUKEE</v>
      </c>
      <c r="C946" s="2" t="s">
        <v>2894</v>
      </c>
      <c r="D946" s="2" t="str">
        <f>CLEAN("2984-13-06")</f>
        <v>2984-13-06</v>
      </c>
      <c r="E946" s="3" t="str">
        <f>CLEAN("VARIOUS LOCATIONS")</f>
        <v>VARIOUS LOCATIONS</v>
      </c>
      <c r="F946" s="3" t="str">
        <f>CLEAN("72 CITY INTERSECTIONS")</f>
        <v>72 CITY INTERSECTIONS</v>
      </c>
      <c r="G946" s="3" t="str">
        <f>CLEAN("PE/HSIP/INTERSECTION IMPROVEMENTS")</f>
        <v>PE/HSIP/INTERSECTION IMPROVEMENTS</v>
      </c>
      <c r="H946" s="2" t="str">
        <f>CLEAN("VAR HWY")</f>
        <v>VAR HWY</v>
      </c>
      <c r="I946" s="2" t="str">
        <f>CLEAN("206")</f>
        <v>206</v>
      </c>
    </row>
    <row r="947" spans="1:9" x14ac:dyDescent="0.35">
      <c r="A947" s="2" t="str">
        <f t="shared" si="155"/>
        <v>MILWAUKEE</v>
      </c>
      <c r="B947" s="2" t="str">
        <f t="shared" si="156"/>
        <v>CITY OF MILWAUKEE</v>
      </c>
      <c r="C947" s="2" t="s">
        <v>574</v>
      </c>
      <c r="D947" s="2" t="str">
        <f>CLEAN("2984-13-74")</f>
        <v>2984-13-74</v>
      </c>
      <c r="E947" s="3" t="str">
        <f>CLEAN("C MILWAUKEE W CENTER STREET")</f>
        <v>C MILWAUKEE W CENTER STREET</v>
      </c>
      <c r="F947" s="3" t="str">
        <f>CLEAN("INTS W/ W LISBON AVE &amp; N 60TH ST")</f>
        <v>INTS W/ W LISBON AVE &amp; N 60TH ST</v>
      </c>
      <c r="G947" s="3" t="str">
        <f>CLEAN("CONST/HSIP/INTERSECT IMPROVEMENTS")</f>
        <v>CONST/HSIP/INTERSECT IMPROVEMENTS</v>
      </c>
      <c r="H947" s="2" t="str">
        <f>CLEAN("LOC STR")</f>
        <v>LOC STR</v>
      </c>
      <c r="I947" s="2" t="str">
        <f>CLEAN("206")</f>
        <v>206</v>
      </c>
    </row>
    <row r="948" spans="1:9" x14ac:dyDescent="0.35">
      <c r="A948" s="2" t="str">
        <f t="shared" si="155"/>
        <v>MILWAUKEE</v>
      </c>
      <c r="B948" s="2" t="str">
        <f t="shared" si="156"/>
        <v>CITY OF MILWAUKEE</v>
      </c>
      <c r="C948" s="2" t="s">
        <v>1023</v>
      </c>
      <c r="D948" s="2" t="str">
        <f>CLEAN("2984-13-83")</f>
        <v>2984-13-83</v>
      </c>
      <c r="E948" s="3" t="str">
        <f>CLEAN("SRTS IMPLEMENTATION PHASE I")</f>
        <v>SRTS IMPLEMENTATION PHASE I</v>
      </c>
      <c r="F948" s="3" t="str">
        <f>CLEAN("CITY OF MILWAUKEE")</f>
        <v>CITY OF MILWAUKEE</v>
      </c>
      <c r="G948" s="3" t="str">
        <f>CLEAN("CONST/SAFE ROUTE TO SCHOOL PROGRAM")</f>
        <v>CONST/SAFE ROUTE TO SCHOOL PROGRAM</v>
      </c>
      <c r="H948" s="2" t="str">
        <f>CLEAN("NON HWY")</f>
        <v>NON HWY</v>
      </c>
      <c r="I948" s="2" t="str">
        <f>CLEAN("290")</f>
        <v>290</v>
      </c>
    </row>
    <row r="949" spans="1:9" x14ac:dyDescent="0.35">
      <c r="A949" s="2" t="str">
        <f t="shared" si="155"/>
        <v>MILWAUKEE</v>
      </c>
      <c r="B949" s="2" t="str">
        <f t="shared" si="156"/>
        <v>CITY OF MILWAUKEE</v>
      </c>
      <c r="C949" s="2" t="s">
        <v>2563</v>
      </c>
      <c r="D949" s="2" t="str">
        <f>CLEAN("2984-13-95")</f>
        <v>2984-13-95</v>
      </c>
      <c r="E949" s="3" t="str">
        <f>CLEAN("VARIOUS LOCATIONS")</f>
        <v>VARIOUS LOCATIONS</v>
      </c>
      <c r="F949" s="3" t="str">
        <f>CLEAN("73 CITY INTERSECTIONS")</f>
        <v>73 CITY INTERSECTIONS</v>
      </c>
      <c r="G949" s="3" t="str">
        <f>CLEAN("LFA/HSIP/INTERSECT IMPROVEMENTS")</f>
        <v>LFA/HSIP/INTERSECT IMPROVEMENTS</v>
      </c>
      <c r="H949" s="2" t="str">
        <f>CLEAN("VAR HWY")</f>
        <v>VAR HWY</v>
      </c>
      <c r="I949" s="2" t="str">
        <f>CLEAN("206")</f>
        <v>206</v>
      </c>
    </row>
    <row r="950" spans="1:9" x14ac:dyDescent="0.35">
      <c r="A950" s="2" t="str">
        <f t="shared" si="155"/>
        <v>MILWAUKEE</v>
      </c>
      <c r="B950" s="2" t="str">
        <f t="shared" si="156"/>
        <v>CITY OF MILWAUKEE</v>
      </c>
      <c r="C950" s="2" t="s">
        <v>2542</v>
      </c>
      <c r="D950" s="2" t="str">
        <f>CLEAN("2984-13-96")</f>
        <v>2984-13-96</v>
      </c>
      <c r="E950" s="3" t="str">
        <f>CLEAN("VARIOUS LOCATIONS")</f>
        <v>VARIOUS LOCATIONS</v>
      </c>
      <c r="F950" s="3" t="str">
        <f>CLEAN("72 CITY INTERSECTIONS")</f>
        <v>72 CITY INTERSECTIONS</v>
      </c>
      <c r="G950" s="3" t="str">
        <f>CLEAN("HSIP/INTERSECTION IMPROVEMENTS")</f>
        <v>HSIP/INTERSECTION IMPROVEMENTS</v>
      </c>
      <c r="H950" s="2" t="str">
        <f>CLEAN("VAR HWY")</f>
        <v>VAR HWY</v>
      </c>
      <c r="I950" s="2" t="str">
        <f>CLEAN("206")</f>
        <v>206</v>
      </c>
    </row>
    <row r="951" spans="1:9" x14ac:dyDescent="0.35">
      <c r="A951" s="2" t="str">
        <f t="shared" si="155"/>
        <v>MILWAUKEE</v>
      </c>
      <c r="B951" s="2" t="str">
        <f t="shared" si="156"/>
        <v>CITY OF MILWAUKEE</v>
      </c>
      <c r="C951" s="2" t="s">
        <v>3046</v>
      </c>
      <c r="D951" s="2" t="str">
        <f>CLEAN("2984-15-01")</f>
        <v>2984-15-01</v>
      </c>
      <c r="E951" s="3" t="str">
        <f>CLEAN("W VILLARD AVE")</f>
        <v>W VILLARD AVE</v>
      </c>
      <c r="F951" s="3" t="str">
        <f>CLEAN("INTERSECTIONS OF N 60TH &amp; N 51ST ST")</f>
        <v>INTERSECTIONS OF N 60TH &amp; N 51ST ST</v>
      </c>
      <c r="G951" s="3" t="str">
        <f>CLEAN("PE-FULL PS&amp;E W/LFA-INTER IMP HSIP")</f>
        <v>PE-FULL PS&amp;E W/LFA-INTER IMP HSIP</v>
      </c>
      <c r="H951" s="2" t="str">
        <f>CLEAN("LOC STR")</f>
        <v>LOC STR</v>
      </c>
      <c r="I951" s="2" t="str">
        <f>CLEAN("206")</f>
        <v>206</v>
      </c>
    </row>
    <row r="952" spans="1:9" x14ac:dyDescent="0.35">
      <c r="A952" s="2" t="str">
        <f t="shared" si="155"/>
        <v>MILWAUKEE</v>
      </c>
      <c r="B952" s="2" t="str">
        <f t="shared" si="156"/>
        <v>CITY OF MILWAUKEE</v>
      </c>
      <c r="C952" s="2" t="s">
        <v>2785</v>
      </c>
      <c r="D952" s="2" t="str">
        <f>CLEAN("2984-15-07")</f>
        <v>2984-15-07</v>
      </c>
      <c r="E952" s="3" t="str">
        <f>CLEAN("C MILWAUKEE - S 72ND STREET")</f>
        <v>C MILWAUKEE - S 72ND STREET</v>
      </c>
      <c r="F952" s="3" t="str">
        <f>CLEAN("BRIDGE OVER HONEY CREEK P40-0633")</f>
        <v>BRIDGE OVER HONEY CREEK P40-0633</v>
      </c>
      <c r="G952" s="3" t="str">
        <f>CLEAN("PE/FULL PS/BRRHB")</f>
        <v>PE/FULL PS/BRRHB</v>
      </c>
      <c r="H952" s="2" t="str">
        <f>CLEAN("LOC STR")</f>
        <v>LOC STR</v>
      </c>
      <c r="I952" s="2" t="str">
        <f>CLEAN("205")</f>
        <v>205</v>
      </c>
    </row>
    <row r="953" spans="1:9" x14ac:dyDescent="0.35">
      <c r="A953" s="2" t="str">
        <f t="shared" si="155"/>
        <v>MILWAUKEE</v>
      </c>
      <c r="B953" s="2" t="str">
        <f t="shared" si="156"/>
        <v>CITY OF MILWAUKEE</v>
      </c>
      <c r="C953" s="2" t="s">
        <v>564</v>
      </c>
      <c r="D953" s="2" t="str">
        <f>CLEAN("2984-15-71")</f>
        <v>2984-15-71</v>
      </c>
      <c r="E953" s="3" t="str">
        <f>CLEAN("C MILWAUKEE W VILLARD AVENUE")</f>
        <v>C MILWAUKEE W VILLARD AVENUE</v>
      </c>
      <c r="F953" s="3" t="str">
        <f>CLEAN("INTERSECTIONS OF N 60TH &amp; N 51ST ST")</f>
        <v>INTERSECTIONS OF N 60TH &amp; N 51ST ST</v>
      </c>
      <c r="G953" s="3" t="str">
        <f>CLEAN("CONST/HSIP")</f>
        <v>CONST/HSIP</v>
      </c>
      <c r="H953" s="2" t="str">
        <f>CLEAN("LOC STR")</f>
        <v>LOC STR</v>
      </c>
      <c r="I953" s="2" t="str">
        <f>CLEAN("206")</f>
        <v>206</v>
      </c>
    </row>
    <row r="954" spans="1:9" x14ac:dyDescent="0.35">
      <c r="A954" s="2" t="str">
        <f t="shared" si="155"/>
        <v>MILWAUKEE</v>
      </c>
      <c r="B954" s="2" t="str">
        <f t="shared" si="156"/>
        <v>CITY OF MILWAUKEE</v>
      </c>
      <c r="C954" s="2" t="s">
        <v>486</v>
      </c>
      <c r="D954" s="2" t="str">
        <f>CLEAN("2984-15-77")</f>
        <v>2984-15-77</v>
      </c>
      <c r="E954" s="3" t="str">
        <f>CLEAN("C MILWAUKEE - S 72ND STREET")</f>
        <v>C MILWAUKEE - S 72ND STREET</v>
      </c>
      <c r="F954" s="3" t="str">
        <f>CLEAN("BRIDGE OVER HONEY CREEK P40-0633")</f>
        <v>BRIDGE OVER HONEY CREEK P40-0633</v>
      </c>
      <c r="G954" s="3" t="str">
        <f>CLEAN("CONST/BRRHB")</f>
        <v>CONST/BRRHB</v>
      </c>
      <c r="H954" s="2" t="str">
        <f>CLEAN("LOC STR")</f>
        <v>LOC STR</v>
      </c>
      <c r="I954" s="2" t="str">
        <f>CLEAN("205")</f>
        <v>205</v>
      </c>
    </row>
    <row r="955" spans="1:9" x14ac:dyDescent="0.35">
      <c r="A955" s="2" t="str">
        <f t="shared" si="155"/>
        <v>MILWAUKEE</v>
      </c>
      <c r="B955" s="2" t="str">
        <f t="shared" si="156"/>
        <v>CITY OF MILWAUKEE</v>
      </c>
      <c r="C955" s="2" t="s">
        <v>2875</v>
      </c>
      <c r="D955" s="2" t="str">
        <f>CLEAN("2984-16-03")</f>
        <v>2984-16-03</v>
      </c>
      <c r="E955" s="3" t="str">
        <f>CLEAN("C MILWAUKEE  N FARWELL  E BRADFORD")</f>
        <v>C MILWAUKEE  N FARWELL  E BRADFORD</v>
      </c>
      <c r="F955" s="3" t="str">
        <f>CLEAN("N PROSPECT AVE TO N LAKE DR")</f>
        <v>N PROSPECT AVE TO N LAKE DR</v>
      </c>
      <c r="G955" s="3" t="str">
        <f>CLEAN("PE/FULL PSE/PVRPLA")</f>
        <v>PE/FULL PSE/PVRPLA</v>
      </c>
      <c r="H955" s="2" t="str">
        <f>CLEAN("STH 032")</f>
        <v>STH 032</v>
      </c>
      <c r="I955" s="2" t="str">
        <f>CLEAN("303")</f>
        <v>303</v>
      </c>
    </row>
    <row r="956" spans="1:9" x14ac:dyDescent="0.35">
      <c r="A956" s="2" t="str">
        <f t="shared" si="155"/>
        <v>MILWAUKEE</v>
      </c>
      <c r="B956" s="2" t="str">
        <f t="shared" si="156"/>
        <v>CITY OF MILWAUKEE</v>
      </c>
      <c r="C956" s="2" t="s">
        <v>2917</v>
      </c>
      <c r="D956" s="2" t="str">
        <f>CLEAN("2984-17-01")</f>
        <v>2984-17-01</v>
      </c>
      <c r="E956" s="3" t="str">
        <f>CLEAN("E/W WASHINGTON ST &amp; W SCOTT ST")</f>
        <v>E/W WASHINGTON ST &amp; W SCOTT ST</v>
      </c>
      <c r="F956" s="3" t="str">
        <f>CLEAN("KK RIVER TRAIL-20TH &amp; 20TH-LAYTON")</f>
        <v>KK RIVER TRAIL-20TH &amp; 20TH-LAYTON</v>
      </c>
      <c r="G956" s="3" t="str">
        <f>CLEAN("PE/PED/BIKE FACILITIES")</f>
        <v>PE/PED/BIKE FACILITIES</v>
      </c>
      <c r="H956" s="2" t="str">
        <f>CLEAN("LOC STR")</f>
        <v>LOC STR</v>
      </c>
      <c r="I956" s="2" t="str">
        <f>CLEAN("290")</f>
        <v>290</v>
      </c>
    </row>
    <row r="957" spans="1:9" x14ac:dyDescent="0.35">
      <c r="A957" s="2" t="str">
        <f t="shared" si="155"/>
        <v>MILWAUKEE</v>
      </c>
      <c r="B957" s="2" t="str">
        <f t="shared" si="156"/>
        <v>CITY OF MILWAUKEE</v>
      </c>
      <c r="C957" s="2" t="s">
        <v>2664</v>
      </c>
      <c r="D957" s="2" t="str">
        <f>CLEAN("2984-17-02")</f>
        <v>2984-17-02</v>
      </c>
      <c r="E957" s="3" t="str">
        <f>CLEAN("C MILWAUKEE  REPLACEMENT LIGHTING")</f>
        <v>C MILWAUKEE  REPLACEMENT LIGHTING</v>
      </c>
      <c r="F957" s="3" t="str">
        <f>CLEAN("CENTER-JUNEAU &amp; 60TH-LAKE MICHIGAN")</f>
        <v>CENTER-JUNEAU &amp; 60TH-LAKE MICHIGAN</v>
      </c>
      <c r="G957" s="3" t="str">
        <f>CLEAN("PE/DESIGN REVIEW ONLY")</f>
        <v>PE/DESIGN REVIEW ONLY</v>
      </c>
      <c r="H957" s="2" t="str">
        <f>CLEAN("VAR HWY")</f>
        <v>VAR HWY</v>
      </c>
      <c r="I957" s="2" t="str">
        <f>CLEAN("206")</f>
        <v>206</v>
      </c>
    </row>
    <row r="958" spans="1:9" x14ac:dyDescent="0.35">
      <c r="A958" s="2" t="str">
        <f t="shared" si="155"/>
        <v>MILWAUKEE</v>
      </c>
      <c r="B958" s="2" t="str">
        <f t="shared" si="156"/>
        <v>CITY OF MILWAUKEE</v>
      </c>
      <c r="C958" s="2" t="s">
        <v>2665</v>
      </c>
      <c r="D958" s="2" t="str">
        <f>CLEAN("2984-17-03")</f>
        <v>2984-17-03</v>
      </c>
      <c r="E958" s="3" t="str">
        <f>CLEAN("C MILWAUKEE  TRAFFIC MANAGEMENT")</f>
        <v>C MILWAUKEE  TRAFFIC MANAGEMENT</v>
      </c>
      <c r="F958" s="3" t="str">
        <f>CLEAN("LOCUST/NORTH/DR MLK 14INTERSECTIONS")</f>
        <v>LOCUST/NORTH/DR MLK 14INTERSECTIONS</v>
      </c>
      <c r="G958" s="3" t="str">
        <f>CLEAN("PE/DESIGN REVIEW ONLY")</f>
        <v>PE/DESIGN REVIEW ONLY</v>
      </c>
      <c r="H958" s="2" t="str">
        <f>CLEAN("VAR HWY")</f>
        <v>VAR HWY</v>
      </c>
      <c r="I958" s="2" t="str">
        <f>CLEAN("206")</f>
        <v>206</v>
      </c>
    </row>
    <row r="959" spans="1:9" x14ac:dyDescent="0.35">
      <c r="A959" s="2" t="str">
        <f t="shared" si="155"/>
        <v>MILWAUKEE</v>
      </c>
      <c r="B959" s="2" t="str">
        <f t="shared" si="156"/>
        <v>CITY OF MILWAUKEE</v>
      </c>
      <c r="C959" s="2" t="s">
        <v>696</v>
      </c>
      <c r="D959" s="2" t="str">
        <f>CLEAN("2984-17-82")</f>
        <v>2984-17-82</v>
      </c>
      <c r="E959" s="3" t="str">
        <f>CLEAN("C MILWAUKEE  REPLACEMENT LIGHTING")</f>
        <v>C MILWAUKEE  REPLACEMENT LIGHTING</v>
      </c>
      <c r="F959" s="3" t="str">
        <f>CLEAN("CENTER-JUNEAU &amp; 60TH-LAKE MICHIGAN")</f>
        <v>CENTER-JUNEAU &amp; 60TH-LAKE MICHIGAN</v>
      </c>
      <c r="G959" s="3" t="str">
        <f>CLEAN("CONST/PROCUREMENT")</f>
        <v>CONST/PROCUREMENT</v>
      </c>
      <c r="H959" s="2" t="str">
        <f>CLEAN("VAR HWY")</f>
        <v>VAR HWY</v>
      </c>
      <c r="I959" s="2" t="str">
        <f>CLEAN("206")</f>
        <v>206</v>
      </c>
    </row>
    <row r="960" spans="1:9" x14ac:dyDescent="0.35">
      <c r="A960" s="2" t="str">
        <f t="shared" si="155"/>
        <v>MILWAUKEE</v>
      </c>
      <c r="B960" s="2" t="str">
        <f t="shared" si="156"/>
        <v>CITY OF MILWAUKEE</v>
      </c>
      <c r="C960" s="2" t="s">
        <v>2565</v>
      </c>
      <c r="D960" s="2" t="str">
        <f>CLEAN("2984-17-92")</f>
        <v>2984-17-92</v>
      </c>
      <c r="E960" s="3" t="str">
        <f>CLEAN("C MILWAUKEE  REPLACEMENT LIGHTING")</f>
        <v>C MILWAUKEE  REPLACEMENT LIGHTING</v>
      </c>
      <c r="F960" s="3" t="str">
        <f>CLEAN("CENTER-JUNEAU &amp; 60TH-LAKE MICHIGAN")</f>
        <v>CENTER-JUNEAU &amp; 60TH-LAKE MICHIGAN</v>
      </c>
      <c r="G960" s="3" t="str">
        <f>CLEAN("LFA/REPLACE LIGHTING")</f>
        <v>LFA/REPLACE LIGHTING</v>
      </c>
      <c r="H960" s="2" t="str">
        <f>CLEAN("VAR HWY")</f>
        <v>VAR HWY</v>
      </c>
      <c r="I960" s="2" t="str">
        <f>CLEAN("206")</f>
        <v>206</v>
      </c>
    </row>
    <row r="961" spans="1:9" x14ac:dyDescent="0.35">
      <c r="A961" s="2" t="str">
        <f t="shared" si="155"/>
        <v>MILWAUKEE</v>
      </c>
      <c r="B961" s="2" t="str">
        <f t="shared" si="156"/>
        <v>CITY OF MILWAUKEE</v>
      </c>
      <c r="C961" s="2" t="s">
        <v>2911</v>
      </c>
      <c r="D961" s="2" t="str">
        <f>CLEAN("2984-18-03")</f>
        <v>2984-18-03</v>
      </c>
      <c r="E961" s="3" t="str">
        <f>CLEAN("PEDESTRIAN &amp; TRANSIT INTS IMPRVMNTS")</f>
        <v>PEDESTRIAN &amp; TRANSIT INTS IMPRVMNTS</v>
      </c>
      <c r="F961" s="3" t="str">
        <f>CLEAN("8 LOCAL INTERSECTIONS")</f>
        <v>8 LOCAL INTERSECTIONS</v>
      </c>
      <c r="G961" s="3" t="str">
        <f>CLEAN("PE/PED &amp; TRANSIT IMPROVEMENTS")</f>
        <v>PE/PED &amp; TRANSIT IMPROVEMENTS</v>
      </c>
      <c r="H961" s="2" t="str">
        <f>CLEAN("NON HWY")</f>
        <v>NON HWY</v>
      </c>
      <c r="I961" s="2" t="str">
        <f>CLEAN("290")</f>
        <v>290</v>
      </c>
    </row>
    <row r="962" spans="1:9" x14ac:dyDescent="0.35">
      <c r="A962" s="2" t="str">
        <f t="shared" si="155"/>
        <v>MILWAUKEE</v>
      </c>
      <c r="B962" s="2" t="str">
        <f t="shared" si="156"/>
        <v>CITY OF MILWAUKEE</v>
      </c>
      <c r="C962" s="2" t="s">
        <v>3010</v>
      </c>
      <c r="D962" s="2" t="str">
        <f>CLEAN("2984-19-02")</f>
        <v>2984-19-02</v>
      </c>
      <c r="E962" s="3" t="str">
        <f>CLEAN("MILWAUKEE COMPLETE STREETS HANDBOOK")</f>
        <v>MILWAUKEE COMPLETE STREETS HANDBOOK</v>
      </c>
      <c r="F962" s="3" t="str">
        <f>CLEAN("CITY OF MILWAUKEE")</f>
        <v>CITY OF MILWAUKEE</v>
      </c>
      <c r="G962" s="3" t="str">
        <f>CLEAN("PE/STREETS HANDBOOK")</f>
        <v>PE/STREETS HANDBOOK</v>
      </c>
      <c r="H962" s="2" t="str">
        <f>CLEAN("NON HWY")</f>
        <v>NON HWY</v>
      </c>
      <c r="I962" s="2" t="str">
        <f>CLEAN("290")</f>
        <v>290</v>
      </c>
    </row>
    <row r="963" spans="1:9" x14ac:dyDescent="0.35">
      <c r="A963" s="2" t="str">
        <f t="shared" si="155"/>
        <v>MILWAUKEE</v>
      </c>
      <c r="B963" s="2" t="str">
        <f t="shared" si="156"/>
        <v>CITY OF MILWAUKEE</v>
      </c>
      <c r="C963" s="2" t="s">
        <v>3336</v>
      </c>
      <c r="D963" s="2" t="str">
        <f>CLEAN("2984-20-03")</f>
        <v>2984-20-03</v>
      </c>
      <c r="E963" s="3" t="str">
        <f>CLEAN("COORD TRAIL/BICYCLE FAC SIGNAGE PLN")</f>
        <v>COORD TRAIL/BICYCLE FAC SIGNAGE PLN</v>
      </c>
      <c r="F963" s="3" t="str">
        <f>CLEAN("CITY WIDE")</f>
        <v>CITY WIDE</v>
      </c>
      <c r="G963" s="3" t="str">
        <f>CLEAN("SIGNAGE")</f>
        <v>SIGNAGE</v>
      </c>
      <c r="H963" s="2" t="str">
        <f>CLEAN("NON HWY")</f>
        <v>NON HWY</v>
      </c>
      <c r="I963" s="2" t="str">
        <f>CLEAN("290")</f>
        <v>290</v>
      </c>
    </row>
    <row r="964" spans="1:9" x14ac:dyDescent="0.35">
      <c r="A964" s="2" t="str">
        <f t="shared" si="155"/>
        <v>MILWAUKEE</v>
      </c>
      <c r="B964" s="2" t="str">
        <f t="shared" si="156"/>
        <v>CITY OF MILWAUKEE</v>
      </c>
      <c r="C964" s="2" t="s">
        <v>2738</v>
      </c>
      <c r="D964" s="2" t="str">
        <f>CLEAN("2984-21-01")</f>
        <v>2984-21-01</v>
      </c>
      <c r="E964" s="3" t="str">
        <f>CLEAN("C MILWAUKEE - N 35TH ST")</f>
        <v>C MILWAUKEE - N 35TH ST</v>
      </c>
      <c r="F964" s="3" t="str">
        <f>CLEAN("INTERSECTION WITH W CENTER ST")</f>
        <v>INTERSECTION WITH W CENTER ST</v>
      </c>
      <c r="G964" s="3" t="str">
        <f>CLEAN("PE/FULL PS&amp;E/MISC")</f>
        <v>PE/FULL PS&amp;E/MISC</v>
      </c>
      <c r="H964" s="2" t="str">
        <f>CLEAN("LOC STR")</f>
        <v>LOC STR</v>
      </c>
      <c r="I964" s="2" t="str">
        <f>CLEAN("206")</f>
        <v>206</v>
      </c>
    </row>
    <row r="965" spans="1:9" x14ac:dyDescent="0.35">
      <c r="A965" s="2" t="str">
        <f t="shared" si="155"/>
        <v>MILWAUKEE</v>
      </c>
      <c r="B965" s="2" t="str">
        <f t="shared" si="156"/>
        <v>CITY OF MILWAUKEE</v>
      </c>
      <c r="C965" s="2" t="s">
        <v>2684</v>
      </c>
      <c r="D965" s="2" t="str">
        <f>CLEAN("2984-21-02")</f>
        <v>2984-21-02</v>
      </c>
      <c r="E965" s="3" t="str">
        <f>CLEAN("C MILWAUKEE-N 35TH STREET")</f>
        <v>C MILWAUKEE-N 35TH STREET</v>
      </c>
      <c r="F965" s="3" t="str">
        <f>CLEAN("INTERSECTIONS WITH NORTH &amp; LISBON")</f>
        <v>INTERSECTIONS WITH NORTH &amp; LISBON</v>
      </c>
      <c r="G965" s="3" t="str">
        <f>CLEAN("PE/FULL PS&amp;E ROW RECST")</f>
        <v>PE/FULL PS&amp;E ROW RECST</v>
      </c>
      <c r="H965" s="2" t="str">
        <f>CLEAN("LOC STR")</f>
        <v>LOC STR</v>
      </c>
      <c r="I965" s="2" t="str">
        <f>CLEAN("206")</f>
        <v>206</v>
      </c>
    </row>
    <row r="966" spans="1:9" x14ac:dyDescent="0.35">
      <c r="A966" s="2" t="str">
        <f t="shared" si="155"/>
        <v>MILWAUKEE</v>
      </c>
      <c r="B966" s="2" t="str">
        <f t="shared" si="156"/>
        <v>CITY OF MILWAUKEE</v>
      </c>
      <c r="C966" s="2" t="s">
        <v>2742</v>
      </c>
      <c r="D966" s="2" t="str">
        <f>CLEAN("2984-21-03")</f>
        <v>2984-21-03</v>
      </c>
      <c r="E966" s="3" t="str">
        <f>CLEAN("C MILWAUKEE W MORGAN AVENUE")</f>
        <v>C MILWAUKEE W MORGAN AVENUE</v>
      </c>
      <c r="F966" s="3" t="str">
        <f>CLEAN("INTS W/ 20TH  16TH  13TH &amp; 6TH ST")</f>
        <v>INTS W/ 20TH  16TH  13TH &amp; 6TH ST</v>
      </c>
      <c r="G966" s="3" t="str">
        <f>CLEAN("PE/FULL PS&amp;E/MISC")</f>
        <v>PE/FULL PS&amp;E/MISC</v>
      </c>
      <c r="H966" s="2" t="str">
        <f>CLEAN("LOC STR")</f>
        <v>LOC STR</v>
      </c>
      <c r="I966" s="2" t="str">
        <f>CLEAN("206")</f>
        <v>206</v>
      </c>
    </row>
    <row r="967" spans="1:9" x14ac:dyDescent="0.35">
      <c r="A967" s="2" t="str">
        <f t="shared" si="155"/>
        <v>MILWAUKEE</v>
      </c>
      <c r="B967" s="2" t="str">
        <f t="shared" si="156"/>
        <v>CITY OF MILWAUKEE</v>
      </c>
      <c r="C967" s="2" t="s">
        <v>2850</v>
      </c>
      <c r="D967" s="2" t="str">
        <f>CLEAN("2984-21-05")</f>
        <v>2984-21-05</v>
      </c>
      <c r="E967" s="3" t="str">
        <f>CLEAN("ATC CONTROLLER &amp; COMM UPGRADE GR 10")</f>
        <v>ATC CONTROLLER &amp; COMM UPGRADE GR 10</v>
      </c>
      <c r="F967" s="3" t="str">
        <f>CLEAN("62 INTERSECTIONS")</f>
        <v>62 INTERSECTIONS</v>
      </c>
      <c r="G967" s="3" t="str">
        <f>CLEAN("PE/FULL PSE/MISC")</f>
        <v>PE/FULL PSE/MISC</v>
      </c>
      <c r="H967" s="2" t="str">
        <f>CLEAN("VAR HWY")</f>
        <v>VAR HWY</v>
      </c>
      <c r="I967" s="2" t="str">
        <f>CLEAN("211")</f>
        <v>211</v>
      </c>
    </row>
    <row r="968" spans="1:9" x14ac:dyDescent="0.35">
      <c r="A968" s="2" t="str">
        <f t="shared" si="155"/>
        <v>MILWAUKEE</v>
      </c>
      <c r="B968" s="2" t="str">
        <f t="shared" si="156"/>
        <v>CITY OF MILWAUKEE</v>
      </c>
      <c r="C968" s="2" t="s">
        <v>626</v>
      </c>
      <c r="D968" s="2" t="str">
        <f>CLEAN("2984-21-71")</f>
        <v>2984-21-71</v>
      </c>
      <c r="E968" s="3" t="str">
        <f>CLEAN("C MILWAUKEE - N 35TH ST")</f>
        <v>C MILWAUKEE - N 35TH ST</v>
      </c>
      <c r="F968" s="3" t="str">
        <f>CLEAN("INTERSECTION WITH W CENTER ST")</f>
        <v>INTERSECTION WITH W CENTER ST</v>
      </c>
      <c r="G968" s="3" t="str">
        <f>CLEAN("CONST/MISC")</f>
        <v>CONST/MISC</v>
      </c>
      <c r="H968" s="2" t="str">
        <f>CLEAN("LOC STR")</f>
        <v>LOC STR</v>
      </c>
      <c r="I968" s="2" t="str">
        <f>CLEAN("206")</f>
        <v>206</v>
      </c>
    </row>
    <row r="969" spans="1:9" x14ac:dyDescent="0.35">
      <c r="A969" s="2" t="str">
        <f t="shared" si="155"/>
        <v>MILWAUKEE</v>
      </c>
      <c r="B969" s="2" t="str">
        <f t="shared" si="156"/>
        <v>CITY OF MILWAUKEE</v>
      </c>
      <c r="C969" s="2" t="s">
        <v>553</v>
      </c>
      <c r="D969" s="2" t="str">
        <f>CLEAN("2984-21-72")</f>
        <v>2984-21-72</v>
      </c>
      <c r="E969" s="3" t="str">
        <f>CLEAN("C MILWAUKEE-N 35TH STREET")</f>
        <v>C MILWAUKEE-N 35TH STREET</v>
      </c>
      <c r="F969" s="3" t="str">
        <f>CLEAN("INTERSECTIONS WITH NORTH &amp; LISBON")</f>
        <v>INTERSECTIONS WITH NORTH &amp; LISBON</v>
      </c>
      <c r="G969" s="3" t="str">
        <f>CLEAN("CONST/FULL PS&amp;E ROW RECST")</f>
        <v>CONST/FULL PS&amp;E ROW RECST</v>
      </c>
      <c r="H969" s="2" t="str">
        <f>CLEAN("LOC STR")</f>
        <v>LOC STR</v>
      </c>
      <c r="I969" s="2" t="str">
        <f>CLEAN("206")</f>
        <v>206</v>
      </c>
    </row>
    <row r="970" spans="1:9" x14ac:dyDescent="0.35">
      <c r="A970" s="2" t="str">
        <f t="shared" ref="A970:A1033" si="159">CLEAN("MILWAUKEE")</f>
        <v>MILWAUKEE</v>
      </c>
      <c r="B970" s="2" t="str">
        <f t="shared" ref="B970:B1033" si="160">CLEAN("CITY OF MILWAUKEE")</f>
        <v>CITY OF MILWAUKEE</v>
      </c>
      <c r="C970" s="2" t="s">
        <v>629</v>
      </c>
      <c r="D970" s="2" t="str">
        <f>CLEAN("2984-21-73")</f>
        <v>2984-21-73</v>
      </c>
      <c r="E970" s="3" t="str">
        <f>CLEAN("C MILWAUKEE W MORGAN AVENUE")</f>
        <v>C MILWAUKEE W MORGAN AVENUE</v>
      </c>
      <c r="F970" s="3" t="str">
        <f>CLEAN("INTS W/ 20TH  16TH  13TH &amp; 6TH ST")</f>
        <v>INTS W/ 20TH  16TH  13TH &amp; 6TH ST</v>
      </c>
      <c r="G970" s="3" t="str">
        <f>CLEAN("CONST/MISC")</f>
        <v>CONST/MISC</v>
      </c>
      <c r="H970" s="2" t="str">
        <f>CLEAN("LOC STR")</f>
        <v>LOC STR</v>
      </c>
      <c r="I970" s="2" t="str">
        <f>CLEAN("206")</f>
        <v>206</v>
      </c>
    </row>
    <row r="971" spans="1:9" x14ac:dyDescent="0.35">
      <c r="A971" s="2" t="str">
        <f t="shared" si="159"/>
        <v>MILWAUKEE</v>
      </c>
      <c r="B971" s="2" t="str">
        <f t="shared" si="160"/>
        <v>CITY OF MILWAUKEE</v>
      </c>
      <c r="C971" s="2" t="s">
        <v>3051</v>
      </c>
      <c r="D971" s="2" t="str">
        <f>CLEAN("2984-22-02")</f>
        <v>2984-22-02</v>
      </c>
      <c r="E971" s="3" t="str">
        <f>CLEAN("ATC CONTROLLER &amp; COMM UPGRADE GR 6")</f>
        <v>ATC CONTROLLER &amp; COMM UPGRADE GR 6</v>
      </c>
      <c r="F971" s="3" t="str">
        <f>CLEAN("53 INTERSECTIONS")</f>
        <v>53 INTERSECTIONS</v>
      </c>
      <c r="G971" s="3" t="str">
        <f>CLEAN("PE-FULL PS&amp;E-LFA-ATC/COMM UPGRADE")</f>
        <v>PE-FULL PS&amp;E-LFA-ATC/COMM UPGRADE</v>
      </c>
      <c r="H971" s="2" t="str">
        <f t="shared" ref="H971:H984" si="161">CLEAN("NON HWY")</f>
        <v>NON HWY</v>
      </c>
      <c r="I971" s="2" t="str">
        <f>CLEAN("211")</f>
        <v>211</v>
      </c>
    </row>
    <row r="972" spans="1:9" x14ac:dyDescent="0.35">
      <c r="A972" s="2" t="str">
        <f t="shared" si="159"/>
        <v>MILWAUKEE</v>
      </c>
      <c r="B972" s="2" t="str">
        <f t="shared" si="160"/>
        <v>CITY OF MILWAUKEE</v>
      </c>
      <c r="C972" s="2" t="s">
        <v>3052</v>
      </c>
      <c r="D972" s="2" t="str">
        <f>CLEAN("2984-22-03")</f>
        <v>2984-22-03</v>
      </c>
      <c r="E972" s="3" t="str">
        <f>CLEAN("ATC CONTROLLER &amp; COMM UPGRADE GR 7")</f>
        <v>ATC CONTROLLER &amp; COMM UPGRADE GR 7</v>
      </c>
      <c r="F972" s="3" t="str">
        <f>CLEAN("70 INTERSECTIONS")</f>
        <v>70 INTERSECTIONS</v>
      </c>
      <c r="G972" s="3" t="str">
        <f>CLEAN("PE-FULL PS&amp;E-LFA-ATC/COMM UPGRADE")</f>
        <v>PE-FULL PS&amp;E-LFA-ATC/COMM UPGRADE</v>
      </c>
      <c r="H972" s="2" t="str">
        <f t="shared" si="161"/>
        <v>NON HWY</v>
      </c>
      <c r="I972" s="2" t="str">
        <f>CLEAN("211")</f>
        <v>211</v>
      </c>
    </row>
    <row r="973" spans="1:9" x14ac:dyDescent="0.35">
      <c r="A973" s="2" t="str">
        <f t="shared" si="159"/>
        <v>MILWAUKEE</v>
      </c>
      <c r="B973" s="2" t="str">
        <f t="shared" si="160"/>
        <v>CITY OF MILWAUKEE</v>
      </c>
      <c r="C973" s="2" t="s">
        <v>3048</v>
      </c>
      <c r="D973" s="2" t="str">
        <f>CLEAN("2984-22-04")</f>
        <v>2984-22-04</v>
      </c>
      <c r="E973" s="3" t="str">
        <f>CLEAN("KINNICKINNIC RVR TRAIL CONNECTIONS")</f>
        <v>KINNICKINNIC RVR TRAIL CONNECTIONS</v>
      </c>
      <c r="F973" s="3" t="str">
        <f>CLEAN("VARIOUS LOCATIONS IN THE CITY")</f>
        <v>VARIOUS LOCATIONS IN THE CITY</v>
      </c>
      <c r="G973" s="3" t="str">
        <f>CLEAN("PE-FULL PS&amp;E-BIKE/PED TRAIL")</f>
        <v>PE-FULL PS&amp;E-BIKE/PED TRAIL</v>
      </c>
      <c r="H973" s="2" t="str">
        <f t="shared" si="161"/>
        <v>NON HWY</v>
      </c>
      <c r="I973" s="2" t="str">
        <f>CLEAN("211")</f>
        <v>211</v>
      </c>
    </row>
    <row r="974" spans="1:9" x14ac:dyDescent="0.35">
      <c r="A974" s="2" t="str">
        <f t="shared" si="159"/>
        <v>MILWAUKEE</v>
      </c>
      <c r="B974" s="2" t="str">
        <f t="shared" si="160"/>
        <v>CITY OF MILWAUKEE</v>
      </c>
      <c r="C974" s="2" t="s">
        <v>3062</v>
      </c>
      <c r="D974" s="2" t="str">
        <f>CLEAN("2984-22-05")</f>
        <v>2984-22-05</v>
      </c>
      <c r="E974" s="3" t="str">
        <f>CLEAN("20TH ST POWER LINE &amp; BEERLINE TRAIL")</f>
        <v>20TH ST POWER LINE &amp; BEERLINE TRAIL</v>
      </c>
      <c r="F974" s="3" t="str">
        <f>CLEAN("OLIVE ST-VILLARD AVE &amp; 20TH-24TH ST")</f>
        <v>OLIVE ST-VILLARD AVE &amp; 20TH-24TH ST</v>
      </c>
      <c r="G974" s="3" t="str">
        <f>CLEAN("PE-LOCAL LET/PED TRAIL")</f>
        <v>PE-LOCAL LET/PED TRAIL</v>
      </c>
      <c r="H974" s="2" t="str">
        <f t="shared" si="161"/>
        <v>NON HWY</v>
      </c>
      <c r="I974" s="2" t="str">
        <f>CLEAN("290")</f>
        <v>290</v>
      </c>
    </row>
    <row r="975" spans="1:9" x14ac:dyDescent="0.35">
      <c r="A975" s="2" t="str">
        <f t="shared" si="159"/>
        <v>MILWAUKEE</v>
      </c>
      <c r="B975" s="2" t="str">
        <f t="shared" si="160"/>
        <v>CITY OF MILWAUKEE</v>
      </c>
      <c r="C975" s="2" t="s">
        <v>3056</v>
      </c>
      <c r="D975" s="2" t="str">
        <f>CLEAN("2984-22-06")</f>
        <v>2984-22-06</v>
      </c>
      <c r="E975" s="3" t="str">
        <f>CLEAN("ATC CONTROLLER &amp; COMM UPGRADE GR 8")</f>
        <v>ATC CONTROLLER &amp; COMM UPGRADE GR 8</v>
      </c>
      <c r="F975" s="3" t="str">
        <f>CLEAN("42 INTERSECTIONS")</f>
        <v>42 INTERSECTIONS</v>
      </c>
      <c r="G975" s="3" t="str">
        <f>CLEAN("PE-FULL PS/ MISC")</f>
        <v>PE-FULL PS/ MISC</v>
      </c>
      <c r="H975" s="2" t="str">
        <f t="shared" si="161"/>
        <v>NON HWY</v>
      </c>
      <c r="I975" s="2" t="str">
        <f>CLEAN("211")</f>
        <v>211</v>
      </c>
    </row>
    <row r="976" spans="1:9" x14ac:dyDescent="0.35">
      <c r="A976" s="2" t="str">
        <f t="shared" si="159"/>
        <v>MILWAUKEE</v>
      </c>
      <c r="B976" s="2" t="str">
        <f t="shared" si="160"/>
        <v>CITY OF MILWAUKEE</v>
      </c>
      <c r="C976" s="2" t="s">
        <v>3057</v>
      </c>
      <c r="D976" s="2" t="str">
        <f>CLEAN("2984-22-07")</f>
        <v>2984-22-07</v>
      </c>
      <c r="E976" s="3" t="str">
        <f>CLEAN("ATC CONTROLLER &amp; COMM UPGRADE GR 9")</f>
        <v>ATC CONTROLLER &amp; COMM UPGRADE GR 9</v>
      </c>
      <c r="F976" s="3" t="str">
        <f>CLEAN("44 INTERSECTIONS")</f>
        <v>44 INTERSECTIONS</v>
      </c>
      <c r="G976" s="3" t="str">
        <f>CLEAN("PE-FULL PS/ MISC")</f>
        <v>PE-FULL PS/ MISC</v>
      </c>
      <c r="H976" s="2" t="str">
        <f t="shared" si="161"/>
        <v>NON HWY</v>
      </c>
      <c r="I976" s="2" t="str">
        <f>CLEAN("211")</f>
        <v>211</v>
      </c>
    </row>
    <row r="977" spans="1:9" x14ac:dyDescent="0.35">
      <c r="A977" s="2" t="str">
        <f t="shared" si="159"/>
        <v>MILWAUKEE</v>
      </c>
      <c r="B977" s="2" t="str">
        <f t="shared" si="160"/>
        <v>CITY OF MILWAUKEE</v>
      </c>
      <c r="C977" s="2" t="s">
        <v>368</v>
      </c>
      <c r="D977" s="2" t="str">
        <f>CLEAN("2984-22-75")</f>
        <v>2984-22-75</v>
      </c>
      <c r="E977" s="3" t="str">
        <f>CLEAN("20TH ST POWER LINE &amp; BEERLINE TRAIL")</f>
        <v>20TH ST POWER LINE &amp; BEERLINE TRAIL</v>
      </c>
      <c r="F977" s="3" t="str">
        <f>CLEAN("OLIVE ST-VILLARD AVE &amp; 20TH-24TH ST")</f>
        <v>OLIVE ST-VILLARD AVE &amp; 20TH-24TH ST</v>
      </c>
      <c r="G977" s="3" t="str">
        <f>CLEAN("CONST/BIKE PEDESTRIAN TRAIL")</f>
        <v>CONST/BIKE PEDESTRIAN TRAIL</v>
      </c>
      <c r="H977" s="2" t="str">
        <f t="shared" si="161"/>
        <v>NON HWY</v>
      </c>
      <c r="I977" s="2" t="str">
        <f>CLEAN("290")</f>
        <v>290</v>
      </c>
    </row>
    <row r="978" spans="1:9" x14ac:dyDescent="0.35">
      <c r="A978" s="2" t="str">
        <f t="shared" si="159"/>
        <v>MILWAUKEE</v>
      </c>
      <c r="B978" s="2" t="str">
        <f t="shared" si="160"/>
        <v>CITY OF MILWAUKEE</v>
      </c>
      <c r="C978" s="2" t="s">
        <v>1092</v>
      </c>
      <c r="D978" s="2" t="str">
        <f>CLEAN("2984-22-92")</f>
        <v>2984-22-92</v>
      </c>
      <c r="E978" s="3" t="str">
        <f>CLEAN("ATC CONTROLLER &amp; COMM UPGRADE GR 6")</f>
        <v>ATC CONTROLLER &amp; COMM UPGRADE GR 6</v>
      </c>
      <c r="F978" s="3" t="str">
        <f>CLEAN("53 INTERSECTIONS")</f>
        <v>53 INTERSECTIONS</v>
      </c>
      <c r="G978" s="3" t="str">
        <f>CLEAN("CONST/VAR CORRIDORS S SIDE")</f>
        <v>CONST/VAR CORRIDORS S SIDE</v>
      </c>
      <c r="H978" s="2" t="str">
        <f t="shared" si="161"/>
        <v>NON HWY</v>
      </c>
      <c r="I978" s="2" t="str">
        <f>CLEAN("211")</f>
        <v>211</v>
      </c>
    </row>
    <row r="979" spans="1:9" x14ac:dyDescent="0.35">
      <c r="A979" s="2" t="str">
        <f t="shared" si="159"/>
        <v>MILWAUKEE</v>
      </c>
      <c r="B979" s="2" t="str">
        <f t="shared" si="160"/>
        <v>CITY OF MILWAUKEE</v>
      </c>
      <c r="C979" s="2" t="s">
        <v>2566</v>
      </c>
      <c r="D979" s="2" t="str">
        <f>CLEAN("2984-22-93")</f>
        <v>2984-22-93</v>
      </c>
      <c r="E979" s="3" t="str">
        <f>CLEAN("ATC CONTROLLER &amp; COMM UPGRADE GR 7")</f>
        <v>ATC CONTROLLER &amp; COMM UPGRADE GR 7</v>
      </c>
      <c r="F979" s="3" t="str">
        <f>CLEAN("70 INTERSECTIONS")</f>
        <v>70 INTERSECTIONS</v>
      </c>
      <c r="G979" s="3" t="str">
        <f>CLEAN("LFA/VAR CORRIDORS MILW CBD")</f>
        <v>LFA/VAR CORRIDORS MILW CBD</v>
      </c>
      <c r="H979" s="2" t="str">
        <f t="shared" si="161"/>
        <v>NON HWY</v>
      </c>
      <c r="I979" s="2" t="str">
        <f>CLEAN("211")</f>
        <v>211</v>
      </c>
    </row>
    <row r="980" spans="1:9" x14ac:dyDescent="0.35">
      <c r="A980" s="2" t="str">
        <f t="shared" si="159"/>
        <v>MILWAUKEE</v>
      </c>
      <c r="B980" s="2" t="str">
        <f t="shared" si="160"/>
        <v>CITY OF MILWAUKEE</v>
      </c>
      <c r="C980" s="2" t="s">
        <v>594</v>
      </c>
      <c r="D980" s="2" t="str">
        <f>CLEAN("2984-22-96")</f>
        <v>2984-22-96</v>
      </c>
      <c r="E980" s="3" t="str">
        <f>CLEAN("ATC CONTROLLER &amp; COMM UPGRADE GR 8")</f>
        <v>ATC CONTROLLER &amp; COMM UPGRADE GR 8</v>
      </c>
      <c r="F980" s="3" t="str">
        <f>CLEAN("42 INTERSECTIONS")</f>
        <v>42 INTERSECTIONS</v>
      </c>
      <c r="G980" s="3" t="str">
        <f>CLEAN("CONST/LFA-ATC/COMM UPGRADE")</f>
        <v>CONST/LFA-ATC/COMM UPGRADE</v>
      </c>
      <c r="H980" s="2" t="str">
        <f t="shared" si="161"/>
        <v>NON HWY</v>
      </c>
      <c r="I980" s="2" t="str">
        <f>CLEAN("211")</f>
        <v>211</v>
      </c>
    </row>
    <row r="981" spans="1:9" x14ac:dyDescent="0.35">
      <c r="A981" s="2" t="str">
        <f t="shared" si="159"/>
        <v>MILWAUKEE</v>
      </c>
      <c r="B981" s="2" t="str">
        <f t="shared" si="160"/>
        <v>CITY OF MILWAUKEE</v>
      </c>
      <c r="C981" s="2" t="s">
        <v>3076</v>
      </c>
      <c r="D981" s="2" t="str">
        <f>CLEAN("2984-23-04")</f>
        <v>2984-23-04</v>
      </c>
      <c r="E981" s="3" t="str">
        <f>CLEAN("Milwaukee Ciftywide Mobility Plan")</f>
        <v>Milwaukee Ciftywide Mobility Plan</v>
      </c>
      <c r="F981" s="3" t="str">
        <f>CLEAN("CITY OF MILWAUKEE")</f>
        <v>CITY OF MILWAUKEE</v>
      </c>
      <c r="G981" s="3" t="str">
        <f>CLEAN("PLANNING STUDY")</f>
        <v>PLANNING STUDY</v>
      </c>
      <c r="H981" s="2" t="str">
        <f t="shared" si="161"/>
        <v>NON HWY</v>
      </c>
      <c r="I981" s="2" t="str">
        <f>CLEAN("290")</f>
        <v>290</v>
      </c>
    </row>
    <row r="982" spans="1:9" x14ac:dyDescent="0.35">
      <c r="A982" s="2" t="str">
        <f t="shared" si="159"/>
        <v>MILWAUKEE</v>
      </c>
      <c r="B982" s="2" t="str">
        <f t="shared" si="160"/>
        <v>CITY OF MILWAUKEE</v>
      </c>
      <c r="C982" s="2" t="s">
        <v>2933</v>
      </c>
      <c r="D982" s="2" t="str">
        <f>CLEAN("2984-24-02")</f>
        <v>2984-24-02</v>
      </c>
      <c r="E982" s="3" t="str">
        <f>CLEAN("EV FLEET CONVERSION")</f>
        <v>EV FLEET CONVERSION</v>
      </c>
      <c r="F982" s="3" t="str">
        <f>CLEAN("PURCHASE 60 EVS &amp; 42 CHARGING STATN")</f>
        <v>PURCHASE 60 EVS &amp; 42 CHARGING STATN</v>
      </c>
      <c r="G982" s="3" t="str">
        <f>CLEAN("PE/PROCURE ELECTRIC VEHICLES")</f>
        <v>PE/PROCURE ELECTRIC VEHICLES</v>
      </c>
      <c r="H982" s="2" t="str">
        <f t="shared" si="161"/>
        <v>NON HWY</v>
      </c>
      <c r="I982" s="2" t="str">
        <f>CLEAN("211")</f>
        <v>211</v>
      </c>
    </row>
    <row r="983" spans="1:9" x14ac:dyDescent="0.35">
      <c r="A983" s="2" t="str">
        <f t="shared" si="159"/>
        <v>MILWAUKEE</v>
      </c>
      <c r="B983" s="2" t="str">
        <f t="shared" si="160"/>
        <v>CITY OF MILWAUKEE</v>
      </c>
      <c r="C983" s="2" t="s">
        <v>2934</v>
      </c>
      <c r="D983" s="2" t="str">
        <f>CLEAN("2984-24-03")</f>
        <v>2984-24-03</v>
      </c>
      <c r="E983" s="3" t="str">
        <f>CLEAN("TRAFFIC SGNL CNTRL SOFTWARE PROCURE")</f>
        <v>TRAFFIC SGNL CNTRL SOFTWARE PROCURE</v>
      </c>
      <c r="F983" s="3" t="str">
        <f>CLEAN("780 TRAFFIC SIGNALS CITYWIDE")</f>
        <v>780 TRAFFIC SIGNALS CITYWIDE</v>
      </c>
      <c r="G983" s="3" t="str">
        <f>CLEAN("PE/PROCUREMENT &amp; IMPLEMENT ATMS")</f>
        <v>PE/PROCUREMENT &amp; IMPLEMENT ATMS</v>
      </c>
      <c r="H983" s="2" t="str">
        <f t="shared" si="161"/>
        <v>NON HWY</v>
      </c>
      <c r="I983" s="2" t="str">
        <f>CLEAN("211")</f>
        <v>211</v>
      </c>
    </row>
    <row r="984" spans="1:9" x14ac:dyDescent="0.35">
      <c r="A984" s="2" t="str">
        <f t="shared" si="159"/>
        <v>MILWAUKEE</v>
      </c>
      <c r="B984" s="2" t="str">
        <f t="shared" si="160"/>
        <v>CITY OF MILWAUKEE</v>
      </c>
      <c r="C984" s="2" t="s">
        <v>2903</v>
      </c>
      <c r="D984" s="2" t="str">
        <f>CLEAN("2984-24-04")</f>
        <v>2984-24-04</v>
      </c>
      <c r="E984" s="3" t="str">
        <f>CLEAN("MILWAUKEE TRAVEL DEMAND MANAGEMENT")</f>
        <v>MILWAUKEE TRAVEL DEMAND MANAGEMENT</v>
      </c>
      <c r="F984" s="3" t="str">
        <f>CLEAN("35TH ST-6TH ST &amp; MITCHELL-HIGHLAND")</f>
        <v>35TH ST-6TH ST &amp; MITCHELL-HIGHLAND</v>
      </c>
      <c r="G984" s="3" t="str">
        <f>CLEAN("PE/MARKETING CAMPAIGN")</f>
        <v>PE/MARKETING CAMPAIGN</v>
      </c>
      <c r="H984" s="2" t="str">
        <f t="shared" si="161"/>
        <v>NON HWY</v>
      </c>
      <c r="I984" s="2" t="str">
        <f>CLEAN("211")</f>
        <v>211</v>
      </c>
    </row>
    <row r="985" spans="1:9" x14ac:dyDescent="0.35">
      <c r="A985" s="2" t="str">
        <f t="shared" si="159"/>
        <v>MILWAUKEE</v>
      </c>
      <c r="B985" s="2" t="str">
        <f t="shared" si="160"/>
        <v>CITY OF MILWAUKEE</v>
      </c>
      <c r="C985" s="2" t="s">
        <v>2838</v>
      </c>
      <c r="D985" s="2" t="str">
        <f>CLEAN("2984-24-05")</f>
        <v>2984-24-05</v>
      </c>
      <c r="E985" s="3" t="str">
        <f>CLEAN("C MILWAUKEE  S 9TH PL")</f>
        <v>C MILWAUKEE  S 9TH PL</v>
      </c>
      <c r="F985" s="3" t="str">
        <f>CLEAN("BRIDGE OVER UPRR B40-0588")</f>
        <v>BRIDGE OVER UPRR B40-0588</v>
      </c>
      <c r="G985" s="3" t="str">
        <f>CLEAN("PE/FULL PSE/BRRHB")</f>
        <v>PE/FULL PSE/BRRHB</v>
      </c>
      <c r="H985" s="2" t="str">
        <f>CLEAN("LOC STR")</f>
        <v>LOC STR</v>
      </c>
      <c r="I985" s="2" t="str">
        <f>CLEAN("205")</f>
        <v>205</v>
      </c>
    </row>
    <row r="986" spans="1:9" x14ac:dyDescent="0.35">
      <c r="A986" s="2" t="str">
        <f t="shared" si="159"/>
        <v>MILWAUKEE</v>
      </c>
      <c r="B986" s="2" t="str">
        <f t="shared" si="160"/>
        <v>CITY OF MILWAUKEE</v>
      </c>
      <c r="C986" s="2" t="s">
        <v>2837</v>
      </c>
      <c r="D986" s="2" t="str">
        <f>CLEAN("2984-24-06")</f>
        <v>2984-24-06</v>
      </c>
      <c r="E986" s="3" t="str">
        <f>CLEAN("C MILWAUKEE  HAWLEY RD")</f>
        <v>C MILWAUKEE  HAWLEY RD</v>
      </c>
      <c r="F986" s="3" t="str">
        <f>CLEAN("BRIDGE OVER STATE ST P40-0873")</f>
        <v>BRIDGE OVER STATE ST P40-0873</v>
      </c>
      <c r="G986" s="3" t="str">
        <f>CLEAN("PE/FULL PSE/BRRHB")</f>
        <v>PE/FULL PSE/BRRHB</v>
      </c>
      <c r="H986" s="2" t="str">
        <f>CLEAN("LOC STR")</f>
        <v>LOC STR</v>
      </c>
      <c r="I986" s="2" t="str">
        <f>CLEAN("205")</f>
        <v>205</v>
      </c>
    </row>
    <row r="987" spans="1:9" x14ac:dyDescent="0.35">
      <c r="A987" s="2" t="str">
        <f t="shared" si="159"/>
        <v>MILWAUKEE</v>
      </c>
      <c r="B987" s="2" t="str">
        <f t="shared" si="160"/>
        <v>CITY OF MILWAUKEE</v>
      </c>
      <c r="C987" s="2" t="s">
        <v>2576</v>
      </c>
      <c r="D987" s="2" t="str">
        <f>CLEAN("2984-24-82")</f>
        <v>2984-24-82</v>
      </c>
      <c r="E987" s="3" t="str">
        <f>CLEAN("EV FLEET CONVERSION")</f>
        <v>EV FLEET CONVERSION</v>
      </c>
      <c r="F987" s="3" t="str">
        <f>CLEAN("PURCHASE 60 EVS &amp; 42 CHARGING STATN")</f>
        <v>PURCHASE 60 EVS &amp; 42 CHARGING STATN</v>
      </c>
      <c r="G987" s="3" t="str">
        <f>CLEAN("MIS/PROCURE ELECTRIC VEHICLES")</f>
        <v>MIS/PROCURE ELECTRIC VEHICLES</v>
      </c>
      <c r="H987" s="2" t="str">
        <f>CLEAN("NON HWY")</f>
        <v>NON HWY</v>
      </c>
      <c r="I987" s="2" t="str">
        <f>CLEAN("211")</f>
        <v>211</v>
      </c>
    </row>
    <row r="988" spans="1:9" x14ac:dyDescent="0.35">
      <c r="A988" s="2" t="str">
        <f t="shared" si="159"/>
        <v>MILWAUKEE</v>
      </c>
      <c r="B988" s="2" t="str">
        <f t="shared" si="160"/>
        <v>CITY OF MILWAUKEE</v>
      </c>
      <c r="C988" s="2" t="s">
        <v>2574</v>
      </c>
      <c r="D988" s="2" t="str">
        <f>CLEAN("2984-24-83")</f>
        <v>2984-24-83</v>
      </c>
      <c r="E988" s="3" t="str">
        <f>CLEAN("TRAFFIC SGNL CNTRL SOFTWARE PROCURE")</f>
        <v>TRAFFIC SGNL CNTRL SOFTWARE PROCURE</v>
      </c>
      <c r="F988" s="3" t="str">
        <f>CLEAN("780 TRAFFIC SIGNALS CITYWIDE")</f>
        <v>780 TRAFFIC SIGNALS CITYWIDE</v>
      </c>
      <c r="G988" s="3" t="str">
        <f>CLEAN("MIS/ATMS")</f>
        <v>MIS/ATMS</v>
      </c>
      <c r="H988" s="2" t="str">
        <f>CLEAN("NON HWY")</f>
        <v>NON HWY</v>
      </c>
      <c r="I988" s="2" t="str">
        <f>CLEAN("211")</f>
        <v>211</v>
      </c>
    </row>
    <row r="989" spans="1:9" x14ac:dyDescent="0.35">
      <c r="A989" s="2" t="str">
        <f t="shared" si="159"/>
        <v>MILWAUKEE</v>
      </c>
      <c r="B989" s="2" t="str">
        <f t="shared" si="160"/>
        <v>CITY OF MILWAUKEE</v>
      </c>
      <c r="C989" s="2" t="s">
        <v>2691</v>
      </c>
      <c r="D989" s="2" t="str">
        <f>CLEAN("2984-25-06")</f>
        <v>2984-25-06</v>
      </c>
      <c r="E989" s="3" t="str">
        <f>CLEAN("C MILWAUKEE  N 25TH ST")</f>
        <v>C MILWAUKEE  N 25TH ST</v>
      </c>
      <c r="F989" s="3" t="str">
        <f>CLEAN("MENOMONEE RIVER BRIDGE P40-0654")</f>
        <v>MENOMONEE RIVER BRIDGE P40-0654</v>
      </c>
      <c r="G989" s="3" t="str">
        <f>CLEAN("PE/FULL PS&amp;E ROW/BRRHB")</f>
        <v>PE/FULL PS&amp;E ROW/BRRHB</v>
      </c>
      <c r="H989" s="2" t="str">
        <f t="shared" ref="H989:H995" si="162">CLEAN("LOC STR")</f>
        <v>LOC STR</v>
      </c>
      <c r="I989" s="2" t="str">
        <f>CLEAN("205")</f>
        <v>205</v>
      </c>
    </row>
    <row r="990" spans="1:9" x14ac:dyDescent="0.35">
      <c r="A990" s="2" t="str">
        <f t="shared" si="159"/>
        <v>MILWAUKEE</v>
      </c>
      <c r="B990" s="2" t="str">
        <f t="shared" si="160"/>
        <v>CITY OF MILWAUKEE</v>
      </c>
      <c r="C990" s="2" t="s">
        <v>2675</v>
      </c>
      <c r="D990" s="2" t="str">
        <f>CLEAN("2984-26-02")</f>
        <v>2984-26-02</v>
      </c>
      <c r="E990" s="3" t="str">
        <f>CLEAN("C MILWAUKEE  N SHERMAN BLVD")</f>
        <v>C MILWAUKEE  N SHERMAN BLVD</v>
      </c>
      <c r="F990" s="3" t="str">
        <f>CLEAN("W NORTH AVE TO W BURLEIGH ST")</f>
        <v>W NORTH AVE TO W BURLEIGH ST</v>
      </c>
      <c r="G990" s="3" t="str">
        <f>CLEAN("PE/FULL PS &amp; E ROW/RECST")</f>
        <v>PE/FULL PS &amp; E ROW/RECST</v>
      </c>
      <c r="H990" s="2" t="str">
        <f t="shared" si="162"/>
        <v>LOC STR</v>
      </c>
      <c r="I990" s="2" t="str">
        <f>CLEAN("206")</f>
        <v>206</v>
      </c>
    </row>
    <row r="991" spans="1:9" x14ac:dyDescent="0.35">
      <c r="A991" s="2" t="str">
        <f t="shared" si="159"/>
        <v>MILWAUKEE</v>
      </c>
      <c r="B991" s="2" t="str">
        <f t="shared" si="160"/>
        <v>CITY OF MILWAUKEE</v>
      </c>
      <c r="C991" s="2" t="s">
        <v>2996</v>
      </c>
      <c r="D991" s="2" t="str">
        <f>CLEAN("2984-26-03")</f>
        <v>2984-26-03</v>
      </c>
      <c r="E991" s="3" t="str">
        <f>CLEAN("C MILWAUKEE  CHERRY ST")</f>
        <v>C MILWAUKEE  CHERRY ST</v>
      </c>
      <c r="F991" s="3" t="str">
        <f>CLEAN("MILWAUKEE RIVER BRIDGE P40-864")</f>
        <v>MILWAUKEE RIVER BRIDGE P40-864</v>
      </c>
      <c r="G991" s="3" t="str">
        <f>CLEAN("PE/STATE REVIEW ONLY")</f>
        <v>PE/STATE REVIEW ONLY</v>
      </c>
      <c r="H991" s="2" t="str">
        <f t="shared" si="162"/>
        <v>LOC STR</v>
      </c>
      <c r="I991" s="2" t="str">
        <f>CLEAN("205")</f>
        <v>205</v>
      </c>
    </row>
    <row r="992" spans="1:9" x14ac:dyDescent="0.35">
      <c r="A992" s="2" t="str">
        <f t="shared" si="159"/>
        <v>MILWAUKEE</v>
      </c>
      <c r="B992" s="2" t="str">
        <f t="shared" si="160"/>
        <v>CITY OF MILWAUKEE</v>
      </c>
      <c r="C992" s="2" t="s">
        <v>2718</v>
      </c>
      <c r="D992" s="2" t="str">
        <f>CLEAN("2984-26-04")</f>
        <v>2984-26-04</v>
      </c>
      <c r="E992" s="3" t="str">
        <f>CLEAN("C MILWAUKEE  N SHERMAN BLVD")</f>
        <v>C MILWAUKEE  N SHERMAN BLVD</v>
      </c>
      <c r="F992" s="3" t="str">
        <f>CLEAN("W BURLEIGH ST TO W CAPITOL DR")</f>
        <v>W BURLEIGH ST TO W CAPITOL DR</v>
      </c>
      <c r="G992" s="3" t="str">
        <f>CLEAN("PE/FULL PS&amp;E ROW/RECST")</f>
        <v>PE/FULL PS&amp;E ROW/RECST</v>
      </c>
      <c r="H992" s="2" t="str">
        <f t="shared" si="162"/>
        <v>LOC STR</v>
      </c>
      <c r="I992" s="2" t="str">
        <f>CLEAN("206")</f>
        <v>206</v>
      </c>
    </row>
    <row r="993" spans="1:9" x14ac:dyDescent="0.35">
      <c r="A993" s="2" t="str">
        <f t="shared" si="159"/>
        <v>MILWAUKEE</v>
      </c>
      <c r="B993" s="2" t="str">
        <f t="shared" si="160"/>
        <v>CITY OF MILWAUKEE</v>
      </c>
      <c r="C993" s="2" t="s">
        <v>3152</v>
      </c>
      <c r="D993" s="2" t="str">
        <f>CLEAN("2984-26-22")</f>
        <v>2984-26-22</v>
      </c>
      <c r="E993" s="3" t="str">
        <f>CLEAN("C MILWAUKEE  N SHERMAN BLVD")</f>
        <v>C MILWAUKEE  N SHERMAN BLVD</v>
      </c>
      <c r="F993" s="3" t="str">
        <f>CLEAN("W NORTH AVE TO W BURLEIGH ST")</f>
        <v>W NORTH AVE TO W BURLEIGH ST</v>
      </c>
      <c r="G993" s="3" t="str">
        <f>CLEAN("RE/RECST")</f>
        <v>RE/RECST</v>
      </c>
      <c r="H993" s="2" t="str">
        <f t="shared" si="162"/>
        <v>LOC STR</v>
      </c>
      <c r="I993" s="2" t="str">
        <f>CLEAN("206")</f>
        <v>206</v>
      </c>
    </row>
    <row r="994" spans="1:9" x14ac:dyDescent="0.35">
      <c r="A994" s="2" t="str">
        <f t="shared" si="159"/>
        <v>MILWAUKEE</v>
      </c>
      <c r="B994" s="2" t="str">
        <f t="shared" si="160"/>
        <v>CITY OF MILWAUKEE</v>
      </c>
      <c r="C994" s="2" t="s">
        <v>3151</v>
      </c>
      <c r="D994" s="2" t="str">
        <f>CLEAN("2984-26-24")</f>
        <v>2984-26-24</v>
      </c>
      <c r="E994" s="3" t="str">
        <f>CLEAN("C MILWAUKEE  N SHERMAN BLVD")</f>
        <v>C MILWAUKEE  N SHERMAN BLVD</v>
      </c>
      <c r="F994" s="3" t="str">
        <f>CLEAN("W BURLEIGH ST TO W CAPITOL DR")</f>
        <v>W BURLEIGH ST TO W CAPITOL DR</v>
      </c>
      <c r="G994" s="3" t="str">
        <f>CLEAN("RE/RECST")</f>
        <v>RE/RECST</v>
      </c>
      <c r="H994" s="2" t="str">
        <f t="shared" si="162"/>
        <v>LOC STR</v>
      </c>
      <c r="I994" s="2" t="str">
        <f>CLEAN("206")</f>
        <v>206</v>
      </c>
    </row>
    <row r="995" spans="1:9" x14ac:dyDescent="0.35">
      <c r="A995" s="2" t="str">
        <f t="shared" si="159"/>
        <v>MILWAUKEE</v>
      </c>
      <c r="B995" s="2" t="str">
        <f t="shared" si="160"/>
        <v>CITY OF MILWAUKEE</v>
      </c>
      <c r="C995" s="2" t="s">
        <v>388</v>
      </c>
      <c r="D995" s="2" t="str">
        <f>CLEAN("2984-26-73")</f>
        <v>2984-26-73</v>
      </c>
      <c r="E995" s="3" t="str">
        <f>CLEAN("C MILWAUKEE  CHERRY ST")</f>
        <v>C MILWAUKEE  CHERRY ST</v>
      </c>
      <c r="F995" s="3" t="str">
        <f>CLEAN("MILWAUKEE RIVER BRIDGE P40-864")</f>
        <v>MILWAUKEE RIVER BRIDGE P40-864</v>
      </c>
      <c r="G995" s="3" t="str">
        <f>CLEAN("CONST/BRIDGE REHAB")</f>
        <v>CONST/BRIDGE REHAB</v>
      </c>
      <c r="H995" s="2" t="str">
        <f t="shared" si="162"/>
        <v>LOC STR</v>
      </c>
      <c r="I995" s="2" t="str">
        <f>CLEAN("205")</f>
        <v>205</v>
      </c>
    </row>
    <row r="996" spans="1:9" x14ac:dyDescent="0.35">
      <c r="A996" s="2" t="str">
        <f t="shared" si="159"/>
        <v>MILWAUKEE</v>
      </c>
      <c r="B996" s="2" t="str">
        <f t="shared" si="160"/>
        <v>CITY OF MILWAUKEE</v>
      </c>
      <c r="C996" s="2" t="s">
        <v>2810</v>
      </c>
      <c r="D996" s="2" t="str">
        <f>CLEAN("2984-27-02")</f>
        <v>2984-27-02</v>
      </c>
      <c r="E996" s="3" t="str">
        <f>CLEAN("STREET LIGHTING IMPROVEMENTS")</f>
        <v>STREET LIGHTING IMPROVEMENTS</v>
      </c>
      <c r="F996" s="3" t="str">
        <f>CLEAN("VARIOUS LOCATIONS CITY WIDE")</f>
        <v>VARIOUS LOCATIONS CITY WIDE</v>
      </c>
      <c r="G996" s="3" t="str">
        <f>CLEAN("PE/FULL PS/MISC")</f>
        <v>PE/FULL PS/MISC</v>
      </c>
      <c r="H996" s="2" t="str">
        <f>CLEAN("NON HWY")</f>
        <v>NON HWY</v>
      </c>
      <c r="I996" s="2" t="str">
        <f>CLEAN("290")</f>
        <v>290</v>
      </c>
    </row>
    <row r="997" spans="1:9" x14ac:dyDescent="0.35">
      <c r="A997" s="2" t="str">
        <f t="shared" si="159"/>
        <v>MILWAUKEE</v>
      </c>
      <c r="B997" s="2" t="str">
        <f t="shared" si="160"/>
        <v>CITY OF MILWAUKEE</v>
      </c>
      <c r="C997" s="2" t="s">
        <v>598</v>
      </c>
      <c r="D997" s="2" t="str">
        <f>CLEAN("2984-27-72")</f>
        <v>2984-27-72</v>
      </c>
      <c r="E997" s="3" t="str">
        <f>CLEAN("STREET LIGHTING IMPROVEMENTS")</f>
        <v>STREET LIGHTING IMPROVEMENTS</v>
      </c>
      <c r="F997" s="3" t="str">
        <f>CLEAN("VARIOUS LOCATIONS CITY WIDE")</f>
        <v>VARIOUS LOCATIONS CITY WIDE</v>
      </c>
      <c r="G997" s="3" t="str">
        <f>CLEAN("CONST/LIGHTING")</f>
        <v>CONST/LIGHTING</v>
      </c>
      <c r="H997" s="2" t="str">
        <f>CLEAN("NON HWY")</f>
        <v>NON HWY</v>
      </c>
      <c r="I997" s="2" t="str">
        <f>CLEAN("290")</f>
        <v>290</v>
      </c>
    </row>
    <row r="998" spans="1:9" x14ac:dyDescent="0.35">
      <c r="A998" s="2" t="str">
        <f t="shared" si="159"/>
        <v>MILWAUKEE</v>
      </c>
      <c r="B998" s="2" t="str">
        <f t="shared" si="160"/>
        <v>CITY OF MILWAUKEE</v>
      </c>
      <c r="C998" s="2" t="s">
        <v>700</v>
      </c>
      <c r="D998" s="2" t="str">
        <f>CLEAN("2984-27-82")</f>
        <v>2984-27-82</v>
      </c>
      <c r="E998" s="3" t="str">
        <f>CLEAN("STREET LIGHTING IMPROVEMENTS")</f>
        <v>STREET LIGHTING IMPROVEMENTS</v>
      </c>
      <c r="F998" s="3" t="str">
        <f>CLEAN("VARIOUS LOCATIONS CITY WIDE")</f>
        <v>VARIOUS LOCATIONS CITY WIDE</v>
      </c>
      <c r="G998" s="3" t="str">
        <f>CLEAN("CONST/PROCUREMENT")</f>
        <v>CONST/PROCUREMENT</v>
      </c>
      <c r="H998" s="2" t="str">
        <f>CLEAN("NON HWY")</f>
        <v>NON HWY</v>
      </c>
      <c r="I998" s="2" t="str">
        <f>CLEAN("290")</f>
        <v>290</v>
      </c>
    </row>
    <row r="999" spans="1:9" x14ac:dyDescent="0.35">
      <c r="A999" s="2" t="str">
        <f t="shared" si="159"/>
        <v>MILWAUKEE</v>
      </c>
      <c r="B999" s="2" t="str">
        <f t="shared" si="160"/>
        <v>CITY OF MILWAUKEE</v>
      </c>
      <c r="C999" s="2" t="s">
        <v>2668</v>
      </c>
      <c r="D999" s="2" t="str">
        <f>CLEAN("2984-28-01")</f>
        <v>2984-28-01</v>
      </c>
      <c r="E999" s="3" t="str">
        <f>CLEAN("FIBER OPTIC INTERCONNECT")</f>
        <v>FIBER OPTIC INTERCONNECT</v>
      </c>
      <c r="F999" s="3" t="str">
        <f>CLEAN("LISBON  WALNUT AND 27TH CORRIDORS")</f>
        <v>LISBON  WALNUT AND 27TH CORRIDORS</v>
      </c>
      <c r="G999" s="3" t="str">
        <f>CLEAN("PE/FIBER OPTIC")</f>
        <v>PE/FIBER OPTIC</v>
      </c>
      <c r="H999" s="2" t="str">
        <f t="shared" ref="H999:H1010" si="163">CLEAN("VAR HWY")</f>
        <v>VAR HWY</v>
      </c>
      <c r="I999" s="2" t="str">
        <f t="shared" ref="I999:I1010" si="164">CLEAN("211")</f>
        <v>211</v>
      </c>
    </row>
    <row r="1000" spans="1:9" x14ac:dyDescent="0.35">
      <c r="A1000" s="2" t="str">
        <f t="shared" si="159"/>
        <v>MILWAUKEE</v>
      </c>
      <c r="B1000" s="2" t="str">
        <f t="shared" si="160"/>
        <v>CITY OF MILWAUKEE</v>
      </c>
      <c r="C1000" s="2" t="s">
        <v>3024</v>
      </c>
      <c r="D1000" s="2" t="str">
        <f>CLEAN("2984-28-02")</f>
        <v>2984-28-02</v>
      </c>
      <c r="E1000" s="3" t="str">
        <f>CLEAN("ATC CONTROLLER &amp; COMM UPGRADE GR 3")</f>
        <v>ATC CONTROLLER &amp; COMM UPGRADE GR 3</v>
      </c>
      <c r="F1000" s="3" t="str">
        <f>CLEAN("79 INTERSECTIONS")</f>
        <v>79 INTERSECTIONS</v>
      </c>
      <c r="G1000" s="3" t="str">
        <f>CLEAN("PE/VAR CORRIDORS NEAR N-W")</f>
        <v>PE/VAR CORRIDORS NEAR N-W</v>
      </c>
      <c r="H1000" s="2" t="str">
        <f t="shared" si="163"/>
        <v>VAR HWY</v>
      </c>
      <c r="I1000" s="2" t="str">
        <f t="shared" si="164"/>
        <v>211</v>
      </c>
    </row>
    <row r="1001" spans="1:9" x14ac:dyDescent="0.35">
      <c r="A1001" s="2" t="str">
        <f t="shared" si="159"/>
        <v>MILWAUKEE</v>
      </c>
      <c r="B1001" s="2" t="str">
        <f t="shared" si="160"/>
        <v>CITY OF MILWAUKEE</v>
      </c>
      <c r="C1001" s="2" t="s">
        <v>2667</v>
      </c>
      <c r="D1001" s="2" t="str">
        <f>CLEAN("2984-28-04")</f>
        <v>2984-28-04</v>
      </c>
      <c r="E1001" s="3" t="str">
        <f>CLEAN("FIBER OPTIC INTERCONNECT")</f>
        <v>FIBER OPTIC INTERCONNECT</v>
      </c>
      <c r="F1001" s="3" t="str">
        <f>CLEAN("CESAR CHAVEZ DR &amp; NATIONAL AVE CORR")</f>
        <v>CESAR CHAVEZ DR &amp; NATIONAL AVE CORR</v>
      </c>
      <c r="G1001" s="3" t="str">
        <f>CLEAN("PE/FIBER OPTIC")</f>
        <v>PE/FIBER OPTIC</v>
      </c>
      <c r="H1001" s="2" t="str">
        <f t="shared" si="163"/>
        <v>VAR HWY</v>
      </c>
      <c r="I1001" s="2" t="str">
        <f t="shared" si="164"/>
        <v>211</v>
      </c>
    </row>
    <row r="1002" spans="1:9" x14ac:dyDescent="0.35">
      <c r="A1002" s="2" t="str">
        <f t="shared" si="159"/>
        <v>MILWAUKEE</v>
      </c>
      <c r="B1002" s="2" t="str">
        <f t="shared" si="160"/>
        <v>CITY OF MILWAUKEE</v>
      </c>
      <c r="C1002" s="2" t="s">
        <v>2567</v>
      </c>
      <c r="D1002" s="2" t="str">
        <f>CLEAN("2984-28-92")</f>
        <v>2984-28-92</v>
      </c>
      <c r="E1002" s="3" t="str">
        <f>CLEAN("ATC CONTROLLER &amp; COMM UPGRADE GR 3")</f>
        <v>ATC CONTROLLER &amp; COMM UPGRADE GR 3</v>
      </c>
      <c r="F1002" s="3" t="str">
        <f>CLEAN("79 INTERSECTIONS")</f>
        <v>79 INTERSECTIONS</v>
      </c>
      <c r="G1002" s="3" t="str">
        <f>CLEAN("LFA/VAR CORRIDORS NEAR N-W")</f>
        <v>LFA/VAR CORRIDORS NEAR N-W</v>
      </c>
      <c r="H1002" s="2" t="str">
        <f t="shared" si="163"/>
        <v>VAR HWY</v>
      </c>
      <c r="I1002" s="2" t="str">
        <f t="shared" si="164"/>
        <v>211</v>
      </c>
    </row>
    <row r="1003" spans="1:9" x14ac:dyDescent="0.35">
      <c r="A1003" s="2" t="str">
        <f t="shared" si="159"/>
        <v>MILWAUKEE</v>
      </c>
      <c r="B1003" s="2" t="str">
        <f t="shared" si="160"/>
        <v>CITY OF MILWAUKEE</v>
      </c>
      <c r="C1003" s="2" t="s">
        <v>2682</v>
      </c>
      <c r="D1003" s="2" t="str">
        <f>CLEAN("2984-29-01")</f>
        <v>2984-29-01</v>
      </c>
      <c r="E1003" s="3" t="str">
        <f>CLEAN("NON-INTRUSIVE DETECTION GRANT 1")</f>
        <v>NON-INTRUSIVE DETECTION GRANT 1</v>
      </c>
      <c r="F1003" s="3" t="str">
        <f>CLEAN("14 INTERSECTIONS  NEAR NORTH SIDE")</f>
        <v>14 INTERSECTIONS  NEAR NORTH SIDE</v>
      </c>
      <c r="G1003" s="3" t="str">
        <f>CLEAN("PE/FULL PS&amp;E LFA/MISC")</f>
        <v>PE/FULL PS&amp;E LFA/MISC</v>
      </c>
      <c r="H1003" s="2" t="str">
        <f t="shared" si="163"/>
        <v>VAR HWY</v>
      </c>
      <c r="I1003" s="2" t="str">
        <f t="shared" si="164"/>
        <v>211</v>
      </c>
    </row>
    <row r="1004" spans="1:9" x14ac:dyDescent="0.35">
      <c r="A1004" s="2" t="str">
        <f t="shared" si="159"/>
        <v>MILWAUKEE</v>
      </c>
      <c r="B1004" s="2" t="str">
        <f t="shared" si="160"/>
        <v>CITY OF MILWAUKEE</v>
      </c>
      <c r="C1004" s="2" t="s">
        <v>2799</v>
      </c>
      <c r="D1004" s="2" t="str">
        <f>CLEAN("2984-29-02")</f>
        <v>2984-29-02</v>
      </c>
      <c r="E1004" s="3" t="str">
        <f>CLEAN("NON-INTRUSIVE DETECTION GRANT 2")</f>
        <v>NON-INTRUSIVE DETECTION GRANT 2</v>
      </c>
      <c r="F1004" s="3" t="str">
        <f>CLEAN("12 INTERSECTIONS  CAPITOL CORRIDOR")</f>
        <v>12 INTERSECTIONS  CAPITOL CORRIDOR</v>
      </c>
      <c r="G1004" s="3" t="str">
        <f>CLEAN("PE/FULL PS/MISC")</f>
        <v>PE/FULL PS/MISC</v>
      </c>
      <c r="H1004" s="2" t="str">
        <f t="shared" si="163"/>
        <v>VAR HWY</v>
      </c>
      <c r="I1004" s="2" t="str">
        <f t="shared" si="164"/>
        <v>211</v>
      </c>
    </row>
    <row r="1005" spans="1:9" x14ac:dyDescent="0.35">
      <c r="A1005" s="2" t="str">
        <f t="shared" si="159"/>
        <v>MILWAUKEE</v>
      </c>
      <c r="B1005" s="2" t="str">
        <f t="shared" si="160"/>
        <v>CITY OF MILWAUKEE</v>
      </c>
      <c r="C1005" s="2" t="s">
        <v>2800</v>
      </c>
      <c r="D1005" s="2" t="str">
        <f>CLEAN("2984-29-03")</f>
        <v>2984-29-03</v>
      </c>
      <c r="E1005" s="3" t="str">
        <f>CLEAN("NON-INTRUSIVE DETECTION GRANT 3")</f>
        <v>NON-INTRUSIVE DETECTION GRANT 3</v>
      </c>
      <c r="F1005" s="3" t="str">
        <f>CLEAN("13 INTERSECTIONS  SOUTH SIDE")</f>
        <v>13 INTERSECTIONS  SOUTH SIDE</v>
      </c>
      <c r="G1005" s="3" t="str">
        <f>CLEAN("PE/FULL PS/MISC")</f>
        <v>PE/FULL PS/MISC</v>
      </c>
      <c r="H1005" s="2" t="str">
        <f t="shared" si="163"/>
        <v>VAR HWY</v>
      </c>
      <c r="I1005" s="2" t="str">
        <f t="shared" si="164"/>
        <v>211</v>
      </c>
    </row>
    <row r="1006" spans="1:9" x14ac:dyDescent="0.35">
      <c r="A1006" s="2" t="str">
        <f t="shared" si="159"/>
        <v>MILWAUKEE</v>
      </c>
      <c r="B1006" s="2" t="str">
        <f t="shared" si="160"/>
        <v>CITY OF MILWAUKEE</v>
      </c>
      <c r="C1006" s="2" t="s">
        <v>2801</v>
      </c>
      <c r="D1006" s="2" t="str">
        <f>CLEAN("2984-29-04")</f>
        <v>2984-29-04</v>
      </c>
      <c r="E1006" s="3" t="str">
        <f>CLEAN("NON-INTRUSIVE DETECTION GRANT 4")</f>
        <v>NON-INTRUSIVE DETECTION GRANT 4</v>
      </c>
      <c r="F1006" s="3" t="str">
        <f>CLEAN("15 INTERSECTIONS  NORTH SIDE")</f>
        <v>15 INTERSECTIONS  NORTH SIDE</v>
      </c>
      <c r="G1006" s="3" t="str">
        <f>CLEAN("PE/FULL PS/MISC")</f>
        <v>PE/FULL PS/MISC</v>
      </c>
      <c r="H1006" s="2" t="str">
        <f t="shared" si="163"/>
        <v>VAR HWY</v>
      </c>
      <c r="I1006" s="2" t="str">
        <f t="shared" si="164"/>
        <v>211</v>
      </c>
    </row>
    <row r="1007" spans="1:9" x14ac:dyDescent="0.35">
      <c r="A1007" s="2" t="str">
        <f t="shared" si="159"/>
        <v>MILWAUKEE</v>
      </c>
      <c r="B1007" s="2" t="str">
        <f t="shared" si="160"/>
        <v>CITY OF MILWAUKEE</v>
      </c>
      <c r="C1007" s="2" t="s">
        <v>618</v>
      </c>
      <c r="D1007" s="2" t="str">
        <f>CLEAN("2984-29-91")</f>
        <v>2984-29-91</v>
      </c>
      <c r="E1007" s="3" t="str">
        <f>CLEAN("NON-INTRUSIVE DETECTION GRANT 1")</f>
        <v>NON-INTRUSIVE DETECTION GRANT 1</v>
      </c>
      <c r="F1007" s="3" t="str">
        <f>CLEAN("14 INTERSECTIONS  NEAR NORTH SIDE")</f>
        <v>14 INTERSECTIONS  NEAR NORTH SIDE</v>
      </c>
      <c r="G1007" s="3" t="str">
        <f>CLEAN("CONST/MISC")</f>
        <v>CONST/MISC</v>
      </c>
      <c r="H1007" s="2" t="str">
        <f t="shared" si="163"/>
        <v>VAR HWY</v>
      </c>
      <c r="I1007" s="2" t="str">
        <f t="shared" si="164"/>
        <v>211</v>
      </c>
    </row>
    <row r="1008" spans="1:9" x14ac:dyDescent="0.35">
      <c r="A1008" s="2" t="str">
        <f t="shared" si="159"/>
        <v>MILWAUKEE</v>
      </c>
      <c r="B1008" s="2" t="str">
        <f t="shared" si="160"/>
        <v>CITY OF MILWAUKEE</v>
      </c>
      <c r="C1008" s="2" t="s">
        <v>616</v>
      </c>
      <c r="D1008" s="2" t="str">
        <f>CLEAN("2984-29-92")</f>
        <v>2984-29-92</v>
      </c>
      <c r="E1008" s="3" t="str">
        <f>CLEAN("NON-INTRUSIVE DETECTION GRANT 2")</f>
        <v>NON-INTRUSIVE DETECTION GRANT 2</v>
      </c>
      <c r="F1008" s="3" t="str">
        <f>CLEAN("12 INTERSECTIONS  CAPITOL CORRIDOR")</f>
        <v>12 INTERSECTIONS  CAPITOL CORRIDOR</v>
      </c>
      <c r="G1008" s="3" t="str">
        <f>CLEAN("CONST/MISC")</f>
        <v>CONST/MISC</v>
      </c>
      <c r="H1008" s="2" t="str">
        <f t="shared" si="163"/>
        <v>VAR HWY</v>
      </c>
      <c r="I1008" s="2" t="str">
        <f t="shared" si="164"/>
        <v>211</v>
      </c>
    </row>
    <row r="1009" spans="1:9" x14ac:dyDescent="0.35">
      <c r="A1009" s="2" t="str">
        <f t="shared" si="159"/>
        <v>MILWAUKEE</v>
      </c>
      <c r="B1009" s="2" t="str">
        <f t="shared" si="160"/>
        <v>CITY OF MILWAUKEE</v>
      </c>
      <c r="C1009" s="2" t="s">
        <v>617</v>
      </c>
      <c r="D1009" s="2" t="str">
        <f>CLEAN("2984-29-93")</f>
        <v>2984-29-93</v>
      </c>
      <c r="E1009" s="3" t="str">
        <f>CLEAN("NON-INTRUSIVE DETECTION GRANT 3")</f>
        <v>NON-INTRUSIVE DETECTION GRANT 3</v>
      </c>
      <c r="F1009" s="3" t="str">
        <f>CLEAN("13 INTERSECTIONS  SOUTH SIDE")</f>
        <v>13 INTERSECTIONS  SOUTH SIDE</v>
      </c>
      <c r="G1009" s="3" t="str">
        <f>CLEAN("CONST/MISC")</f>
        <v>CONST/MISC</v>
      </c>
      <c r="H1009" s="2" t="str">
        <f t="shared" si="163"/>
        <v>VAR HWY</v>
      </c>
      <c r="I1009" s="2" t="str">
        <f t="shared" si="164"/>
        <v>211</v>
      </c>
    </row>
    <row r="1010" spans="1:9" x14ac:dyDescent="0.35">
      <c r="A1010" s="2" t="str">
        <f t="shared" si="159"/>
        <v>MILWAUKEE</v>
      </c>
      <c r="B1010" s="2" t="str">
        <f t="shared" si="160"/>
        <v>CITY OF MILWAUKEE</v>
      </c>
      <c r="C1010" s="2" t="s">
        <v>619</v>
      </c>
      <c r="D1010" s="2" t="str">
        <f>CLEAN("2984-29-94")</f>
        <v>2984-29-94</v>
      </c>
      <c r="E1010" s="3" t="str">
        <f>CLEAN("NON-INTRUSIVE DETECTION GRANT 4")</f>
        <v>NON-INTRUSIVE DETECTION GRANT 4</v>
      </c>
      <c r="F1010" s="3" t="str">
        <f>CLEAN("15 INTERSECTIONS  NORTH SIDE")</f>
        <v>15 INTERSECTIONS  NORTH SIDE</v>
      </c>
      <c r="G1010" s="3" t="str">
        <f>CLEAN("CONST/MISC")</f>
        <v>CONST/MISC</v>
      </c>
      <c r="H1010" s="2" t="str">
        <f t="shared" si="163"/>
        <v>VAR HWY</v>
      </c>
      <c r="I1010" s="2" t="str">
        <f t="shared" si="164"/>
        <v>211</v>
      </c>
    </row>
    <row r="1011" spans="1:9" x14ac:dyDescent="0.35">
      <c r="A1011" s="2" t="str">
        <f t="shared" si="159"/>
        <v>MILWAUKEE</v>
      </c>
      <c r="B1011" s="2" t="str">
        <f t="shared" si="160"/>
        <v>CITY OF MILWAUKEE</v>
      </c>
      <c r="C1011" s="2" t="s">
        <v>2816</v>
      </c>
      <c r="D1011" s="2" t="str">
        <f>CLEAN("2984-30-01")</f>
        <v>2984-30-01</v>
      </c>
      <c r="E1011" s="3" t="str">
        <f>CLEAN("C MILWAUKEE  W HOPKINS BIKE LANE")</f>
        <v>C MILWAUKEE  W HOPKINS BIKE LANE</v>
      </c>
      <c r="F1011" s="3" t="str">
        <f>CLEAN("240'W OF N31ST ST TO N TEUTONIA AVE")</f>
        <v>240'W OF N31ST ST TO N TEUTONIA AVE</v>
      </c>
      <c r="G1011" s="3" t="str">
        <f>CLEAN("PE/FULL PS/RECST")</f>
        <v>PE/FULL PS/RECST</v>
      </c>
      <c r="H1011" s="2" t="str">
        <f>CLEAN("LOC STR")</f>
        <v>LOC STR</v>
      </c>
      <c r="I1011" s="2" t="str">
        <f>CLEAN("290")</f>
        <v>290</v>
      </c>
    </row>
    <row r="1012" spans="1:9" x14ac:dyDescent="0.35">
      <c r="A1012" s="2" t="str">
        <f t="shared" si="159"/>
        <v>MILWAUKEE</v>
      </c>
      <c r="B1012" s="2" t="str">
        <f t="shared" si="160"/>
        <v>CITY OF MILWAUKEE</v>
      </c>
      <c r="C1012" s="2" t="s">
        <v>821</v>
      </c>
      <c r="D1012" s="2" t="str">
        <f>CLEAN("2984-30-71")</f>
        <v>2984-30-71</v>
      </c>
      <c r="E1012" s="3" t="str">
        <f>CLEAN("C MILWAUKEE  W HOPKINS BIKE LANE")</f>
        <v>C MILWAUKEE  W HOPKINS BIKE LANE</v>
      </c>
      <c r="F1012" s="3" t="str">
        <f>CLEAN("240'W OF N31ST ST TO N TEUTONIA AVE")</f>
        <v>240'W OF N31ST ST TO N TEUTONIA AVE</v>
      </c>
      <c r="G1012" s="3" t="str">
        <f>CLEAN("CONST/RECST")</f>
        <v>CONST/RECST</v>
      </c>
      <c r="H1012" s="2" t="str">
        <f>CLEAN("LOC STR")</f>
        <v>LOC STR</v>
      </c>
      <c r="I1012" s="2" t="str">
        <f>CLEAN("290")</f>
        <v>290</v>
      </c>
    </row>
    <row r="1013" spans="1:9" x14ac:dyDescent="0.35">
      <c r="A1013" s="2" t="str">
        <f t="shared" si="159"/>
        <v>MILWAUKEE</v>
      </c>
      <c r="B1013" s="2" t="str">
        <f t="shared" si="160"/>
        <v>CITY OF MILWAUKEE</v>
      </c>
      <c r="C1013" s="2" t="s">
        <v>2765</v>
      </c>
      <c r="D1013" s="2" t="str">
        <f>CLEAN("2984-31-01")</f>
        <v>2984-31-01</v>
      </c>
      <c r="E1013" s="3" t="str">
        <f>CLEAN("C MILWAUKEE  W WALNUT BIKE LANE")</f>
        <v>C MILWAUKEE  W WALNUT BIKE LANE</v>
      </c>
      <c r="F1013" s="3" t="str">
        <f>CLEAN("N 20TH ST TO N 40TH ST")</f>
        <v>N 20TH ST TO N 40TH ST</v>
      </c>
      <c r="G1013" s="3" t="str">
        <f>CLEAN("PE/FULL PS&amp;E/RECONSTRUCT")</f>
        <v>PE/FULL PS&amp;E/RECONSTRUCT</v>
      </c>
      <c r="H1013" s="2" t="str">
        <f>CLEAN("LOC STR")</f>
        <v>LOC STR</v>
      </c>
      <c r="I1013" s="2" t="str">
        <f>CLEAN("290")</f>
        <v>290</v>
      </c>
    </row>
    <row r="1014" spans="1:9" x14ac:dyDescent="0.35">
      <c r="A1014" s="2" t="str">
        <f t="shared" si="159"/>
        <v>MILWAUKEE</v>
      </c>
      <c r="B1014" s="2" t="str">
        <f t="shared" si="160"/>
        <v>CITY OF MILWAUKEE</v>
      </c>
      <c r="C1014" s="2" t="s">
        <v>2874</v>
      </c>
      <c r="D1014" s="2" t="str">
        <f>CLEAN("2984-31-02")</f>
        <v>2984-31-02</v>
      </c>
      <c r="E1014" s="3" t="str">
        <f>CLEAN("C MILWAUKEE LOCUST-TEUTONIA-CENTER")</f>
        <v>C MILWAUKEE LOCUST-TEUTONIA-CENTER</v>
      </c>
      <c r="F1014" s="3" t="str">
        <f>CLEAN("N HOPKINS ST TO N HUMBOLDT BLVD")</f>
        <v>N HOPKINS ST TO N HUMBOLDT BLVD</v>
      </c>
      <c r="G1014" s="3" t="str">
        <f>CLEAN("PE/FULL PSE/PROTECTED BIKE LANE")</f>
        <v>PE/FULL PSE/PROTECTED BIKE LANE</v>
      </c>
      <c r="H1014" s="2" t="str">
        <f>CLEAN("VAR HWY")</f>
        <v>VAR HWY</v>
      </c>
      <c r="I1014" s="2" t="str">
        <f>CLEAN("211")</f>
        <v>211</v>
      </c>
    </row>
    <row r="1015" spans="1:9" x14ac:dyDescent="0.35">
      <c r="A1015" s="2" t="str">
        <f t="shared" si="159"/>
        <v>MILWAUKEE</v>
      </c>
      <c r="B1015" s="2" t="str">
        <f t="shared" si="160"/>
        <v>CITY OF MILWAUKEE</v>
      </c>
      <c r="C1015" s="2" t="s">
        <v>2846</v>
      </c>
      <c r="D1015" s="2" t="str">
        <f>CLEAN("2984-31-03")</f>
        <v>2984-31-03</v>
      </c>
      <c r="E1015" s="3" t="str">
        <f>CLEAN("C MILWAUKEE  BIKE SHARE EXPANSION")</f>
        <v>C MILWAUKEE  BIKE SHARE EXPANSION</v>
      </c>
      <c r="F1015" s="3" t="str">
        <f>CLEAN("165 STATIONS  300 EBIKES")</f>
        <v>165 STATIONS  300 EBIKES</v>
      </c>
      <c r="G1015" s="3" t="str">
        <f>CLEAN("PE/FULL PSE/MISC")</f>
        <v>PE/FULL PSE/MISC</v>
      </c>
      <c r="H1015" s="2" t="str">
        <f>CLEAN("VAR HWY")</f>
        <v>VAR HWY</v>
      </c>
      <c r="I1015" s="2" t="str">
        <f>CLEAN("211")</f>
        <v>211</v>
      </c>
    </row>
    <row r="1016" spans="1:9" x14ac:dyDescent="0.35">
      <c r="A1016" s="2" t="str">
        <f t="shared" si="159"/>
        <v>MILWAUKEE</v>
      </c>
      <c r="B1016" s="2" t="str">
        <f t="shared" si="160"/>
        <v>CITY OF MILWAUKEE</v>
      </c>
      <c r="C1016" s="2" t="s">
        <v>2873</v>
      </c>
      <c r="D1016" s="2" t="str">
        <f>CLEAN("2984-31-04")</f>
        <v>2984-31-04</v>
      </c>
      <c r="E1016" s="3" t="str">
        <f>CLEAN("C MILWAUKEE  SHERMAN/LISBON")</f>
        <v>C MILWAUKEE  SHERMAN/LISBON</v>
      </c>
      <c r="F1016" s="3" t="str">
        <f>CLEAN("LISBON-NORTH AND SHERMAN-40TH")</f>
        <v>LISBON-NORTH AND SHERMAN-40TH</v>
      </c>
      <c r="G1016" s="3" t="str">
        <f>CLEAN("PE/FULL PSE/PROTECTED BIKE LANE")</f>
        <v>PE/FULL PSE/PROTECTED BIKE LANE</v>
      </c>
      <c r="H1016" s="2" t="str">
        <f>CLEAN("VAR HWY")</f>
        <v>VAR HWY</v>
      </c>
      <c r="I1016" s="2" t="str">
        <f>CLEAN("211")</f>
        <v>211</v>
      </c>
    </row>
    <row r="1017" spans="1:9" x14ac:dyDescent="0.35">
      <c r="A1017" s="2" t="str">
        <f t="shared" si="159"/>
        <v>MILWAUKEE</v>
      </c>
      <c r="B1017" s="2" t="str">
        <f t="shared" si="160"/>
        <v>CITY OF MILWAUKEE</v>
      </c>
      <c r="C1017" s="2" t="s">
        <v>703</v>
      </c>
      <c r="D1017" s="2" t="str">
        <f>CLEAN("2984-31-71")</f>
        <v>2984-31-71</v>
      </c>
      <c r="E1017" s="3" t="str">
        <f>CLEAN("C MILWAUKEE  W WALNUT BIKE LANE")</f>
        <v>C MILWAUKEE  W WALNUT BIKE LANE</v>
      </c>
      <c r="F1017" s="3" t="str">
        <f>CLEAN("N 20TH ST TO N 40TH ST")</f>
        <v>N 20TH ST TO N 40TH ST</v>
      </c>
      <c r="G1017" s="3" t="str">
        <f>CLEAN("CONST/PROTECTED BIKE LANE")</f>
        <v>CONST/PROTECTED BIKE LANE</v>
      </c>
      <c r="H1017" s="2" t="str">
        <f>CLEAN("LOC STR")</f>
        <v>LOC STR</v>
      </c>
      <c r="I1017" s="2" t="str">
        <f>CLEAN("290")</f>
        <v>290</v>
      </c>
    </row>
    <row r="1018" spans="1:9" x14ac:dyDescent="0.35">
      <c r="A1018" s="2" t="str">
        <f t="shared" si="159"/>
        <v>MILWAUKEE</v>
      </c>
      <c r="B1018" s="2" t="str">
        <f t="shared" si="160"/>
        <v>CITY OF MILWAUKEE</v>
      </c>
      <c r="C1018" s="2" t="s">
        <v>3089</v>
      </c>
      <c r="D1018" s="2" t="str">
        <f>CLEAN("2984-31-83")</f>
        <v>2984-31-83</v>
      </c>
      <c r="E1018" s="3" t="str">
        <f>CLEAN("C MILWAUKEE  BIKE SHARE EXPANSION")</f>
        <v>C MILWAUKEE  BIKE SHARE EXPANSION</v>
      </c>
      <c r="F1018" s="3" t="str">
        <f>CLEAN("165 STATIONS  300 EBIKES")</f>
        <v>165 STATIONS  300 EBIKES</v>
      </c>
      <c r="G1018" s="3" t="str">
        <f>CLEAN("PROCUREMENT/BIKES AND STATIONS")</f>
        <v>PROCUREMENT/BIKES AND STATIONS</v>
      </c>
      <c r="H1018" s="2" t="str">
        <f>CLEAN("VAR HWY")</f>
        <v>VAR HWY</v>
      </c>
      <c r="I1018" s="2" t="str">
        <f>CLEAN("211")</f>
        <v>211</v>
      </c>
    </row>
    <row r="1019" spans="1:9" x14ac:dyDescent="0.35">
      <c r="A1019" s="2" t="str">
        <f t="shared" si="159"/>
        <v>MILWAUKEE</v>
      </c>
      <c r="B1019" s="2" t="str">
        <f t="shared" si="160"/>
        <v>CITY OF MILWAUKEE</v>
      </c>
      <c r="C1019" s="2" t="s">
        <v>2632</v>
      </c>
      <c r="D1019" s="2" t="str">
        <f>CLEAN("2984-32-01")</f>
        <v>2984-32-01</v>
      </c>
      <c r="E1019" s="3" t="str">
        <f>CLEAN("WEST VILLARD AVENUE")</f>
        <v>WEST VILLARD AVENUE</v>
      </c>
      <c r="F1019" s="3" t="str">
        <f>CLEAN("BRIDGE OVER LINCOLN CREEK")</f>
        <v>BRIDGE OVER LINCOLN CREEK</v>
      </c>
      <c r="G1019" s="3" t="str">
        <f>CLEAN("PE/BRIDGE REHAB")</f>
        <v>PE/BRIDGE REHAB</v>
      </c>
      <c r="H1019" s="2" t="str">
        <f>CLEAN("LOC STR")</f>
        <v>LOC STR</v>
      </c>
      <c r="I1019" s="2" t="str">
        <f>CLEAN("205")</f>
        <v>205</v>
      </c>
    </row>
    <row r="1020" spans="1:9" x14ac:dyDescent="0.35">
      <c r="A1020" s="2" t="str">
        <f t="shared" si="159"/>
        <v>MILWAUKEE</v>
      </c>
      <c r="B1020" s="2" t="str">
        <f t="shared" si="160"/>
        <v>CITY OF MILWAUKEE</v>
      </c>
      <c r="C1020" s="2" t="s">
        <v>382</v>
      </c>
      <c r="D1020" s="2" t="str">
        <f>CLEAN("2984-32-71")</f>
        <v>2984-32-71</v>
      </c>
      <c r="E1020" s="3" t="str">
        <f>CLEAN("WEST VILLARD AVENUE")</f>
        <v>WEST VILLARD AVENUE</v>
      </c>
      <c r="F1020" s="3" t="str">
        <f>CLEAN("BRIDGE OVER LINCOLN CREEK P-40-894")</f>
        <v>BRIDGE OVER LINCOLN CREEK P-40-894</v>
      </c>
      <c r="G1020" s="3" t="str">
        <f>CLEAN("CONST/BRIDGE REHAB")</f>
        <v>CONST/BRIDGE REHAB</v>
      </c>
      <c r="H1020" s="2" t="str">
        <f>CLEAN("LOC STR")</f>
        <v>LOC STR</v>
      </c>
      <c r="I1020" s="2" t="str">
        <f>CLEAN("205")</f>
        <v>205</v>
      </c>
    </row>
    <row r="1021" spans="1:9" x14ac:dyDescent="0.35">
      <c r="A1021" s="2" t="str">
        <f t="shared" si="159"/>
        <v>MILWAUKEE</v>
      </c>
      <c r="B1021" s="2" t="str">
        <f t="shared" si="160"/>
        <v>CITY OF MILWAUKEE</v>
      </c>
      <c r="C1021" s="2" t="s">
        <v>2817</v>
      </c>
      <c r="D1021" s="2" t="str">
        <f>CLEAN("2984-33-01")</f>
        <v>2984-33-01</v>
      </c>
      <c r="E1021" s="3" t="str">
        <f>CLEAN("C MILWAUKEE  OKLAHOMA/6TH BIKE LANE")</f>
        <v>C MILWAUKEE  OKLAHOMA/6TH BIKE LANE</v>
      </c>
      <c r="F1021" s="3" t="str">
        <f>CLEAN("6TH-HOWELL &amp; MANITOBA-OKLAHOMA")</f>
        <v>6TH-HOWELL &amp; MANITOBA-OKLAHOMA</v>
      </c>
      <c r="G1021" s="3" t="str">
        <f>CLEAN("PE/FULL PS/RECST")</f>
        <v>PE/FULL PS/RECST</v>
      </c>
      <c r="H1021" s="2" t="str">
        <f>CLEAN("LOC STR")</f>
        <v>LOC STR</v>
      </c>
      <c r="I1021" s="2" t="str">
        <f t="shared" ref="I1021:I1029" si="165">CLEAN("290")</f>
        <v>290</v>
      </c>
    </row>
    <row r="1022" spans="1:9" x14ac:dyDescent="0.35">
      <c r="A1022" s="2" t="str">
        <f t="shared" si="159"/>
        <v>MILWAUKEE</v>
      </c>
      <c r="B1022" s="2" t="str">
        <f t="shared" si="160"/>
        <v>CITY OF MILWAUKEE</v>
      </c>
      <c r="C1022" s="2" t="s">
        <v>823</v>
      </c>
      <c r="D1022" s="2" t="str">
        <f>CLEAN("2984-33-71")</f>
        <v>2984-33-71</v>
      </c>
      <c r="E1022" s="3" t="str">
        <f>CLEAN("C MILWAUKEE  OKLAHOMA/6TH BIKE LANE")</f>
        <v>C MILWAUKEE  OKLAHOMA/6TH BIKE LANE</v>
      </c>
      <c r="F1022" s="3" t="str">
        <f>CLEAN("6TH-HOWELL &amp; MANITOBA-OKLAHOMA")</f>
        <v>6TH-HOWELL &amp; MANITOBA-OKLAHOMA</v>
      </c>
      <c r="G1022" s="3" t="str">
        <f>CLEAN("CONST/RECST")</f>
        <v>CONST/RECST</v>
      </c>
      <c r="H1022" s="2" t="str">
        <f>CLEAN("LOC STR")</f>
        <v>LOC STR</v>
      </c>
      <c r="I1022" s="2" t="str">
        <f t="shared" si="165"/>
        <v>290</v>
      </c>
    </row>
    <row r="1023" spans="1:9" x14ac:dyDescent="0.35">
      <c r="A1023" s="2" t="str">
        <f t="shared" si="159"/>
        <v>MILWAUKEE</v>
      </c>
      <c r="B1023" s="2" t="str">
        <f t="shared" si="160"/>
        <v>CITY OF MILWAUKEE</v>
      </c>
      <c r="C1023" s="2" t="s">
        <v>2657</v>
      </c>
      <c r="D1023" s="2" t="str">
        <f>CLEAN("2984-34-03")</f>
        <v>2984-34-03</v>
      </c>
      <c r="E1023" s="3" t="str">
        <f>CLEAN("CITY OF MILWAUKEE")</f>
        <v>CITY OF MILWAUKEE</v>
      </c>
      <c r="F1023" s="3" t="str">
        <f>CLEAN("PEDESTRIAN PLAN")</f>
        <v>PEDESTRIAN PLAN</v>
      </c>
      <c r="G1023" s="3" t="str">
        <f>CLEAN("PE/CREATE PEDESTRIAN MASTER PLAN")</f>
        <v>PE/CREATE PEDESTRIAN MASTER PLAN</v>
      </c>
      <c r="H1023" s="2" t="str">
        <f t="shared" ref="H1023:H1029" si="166">CLEAN("NON HWY")</f>
        <v>NON HWY</v>
      </c>
      <c r="I1023" s="2" t="str">
        <f t="shared" si="165"/>
        <v>290</v>
      </c>
    </row>
    <row r="1024" spans="1:9" x14ac:dyDescent="0.35">
      <c r="A1024" s="2" t="str">
        <f t="shared" si="159"/>
        <v>MILWAUKEE</v>
      </c>
      <c r="B1024" s="2" t="str">
        <f t="shared" si="160"/>
        <v>CITY OF MILWAUKEE</v>
      </c>
      <c r="C1024" s="2" t="s">
        <v>2623</v>
      </c>
      <c r="D1024" s="2" t="str">
        <f>CLEAN("2984-34-71")</f>
        <v>2984-34-71</v>
      </c>
      <c r="E1024" s="3" t="str">
        <f>CLEAN("BEER LINE BICYCLE TRAIL EXTENSION")</f>
        <v>BEER LINE BICYCLE TRAIL EXTENSION</v>
      </c>
      <c r="F1024" s="3" t="str">
        <f>CLEAN("N RICHARDS ST TO CAPITOL DR")</f>
        <v>N RICHARDS ST TO CAPITOL DR</v>
      </c>
      <c r="G1024" s="3" t="str">
        <f>CLEAN("PE/BIKE &amp; PED PATH")</f>
        <v>PE/BIKE &amp; PED PATH</v>
      </c>
      <c r="H1024" s="2" t="str">
        <f t="shared" si="166"/>
        <v>NON HWY</v>
      </c>
      <c r="I1024" s="2" t="str">
        <f t="shared" si="165"/>
        <v>290</v>
      </c>
    </row>
    <row r="1025" spans="1:9" x14ac:dyDescent="0.35">
      <c r="A1025" s="2" t="str">
        <f t="shared" si="159"/>
        <v>MILWAUKEE</v>
      </c>
      <c r="B1025" s="2" t="str">
        <f t="shared" si="160"/>
        <v>CITY OF MILWAUKEE</v>
      </c>
      <c r="C1025" s="2" t="s">
        <v>3014</v>
      </c>
      <c r="D1025" s="2" t="str">
        <f>CLEAN("2984-35-02")</f>
        <v>2984-35-02</v>
      </c>
      <c r="E1025" s="3" t="str">
        <f>CLEAN("S POWERLINE TRAIL PLANNING STUDY")</f>
        <v>S POWERLINE TRAIL PLANNING STUDY</v>
      </c>
      <c r="F1025" s="3" t="str">
        <f>CLEAN("HALE-HAST; PONDVIEW-LAKE MICHIGAN")</f>
        <v>HALE-HAST; PONDVIEW-LAKE MICHIGAN</v>
      </c>
      <c r="G1025" s="3" t="str">
        <f>CLEAN("PE/STUDY")</f>
        <v>PE/STUDY</v>
      </c>
      <c r="H1025" s="2" t="str">
        <f t="shared" si="166"/>
        <v>NON HWY</v>
      </c>
      <c r="I1025" s="2" t="str">
        <f t="shared" si="165"/>
        <v>290</v>
      </c>
    </row>
    <row r="1026" spans="1:9" x14ac:dyDescent="0.35">
      <c r="A1026" s="2" t="str">
        <f t="shared" si="159"/>
        <v>MILWAUKEE</v>
      </c>
      <c r="B1026" s="2" t="str">
        <f t="shared" si="160"/>
        <v>CITY OF MILWAUKEE</v>
      </c>
      <c r="C1026" s="2" t="s">
        <v>2987</v>
      </c>
      <c r="D1026" s="2" t="str">
        <f>CLEAN("2984-37-01")</f>
        <v>2984-37-01</v>
      </c>
      <c r="E1026" s="3" t="str">
        <f>CLEAN("C MILWAUKEE  HARBOR RIVERWALK N")</f>
        <v>C MILWAUKEE  HARBOR RIVERWALK N</v>
      </c>
      <c r="F1026" s="3" t="str">
        <f>CLEAN("E GREENFIELD AVE TO .14 MI S")</f>
        <v>E GREENFIELD AVE TO .14 MI S</v>
      </c>
      <c r="G1026" s="3" t="str">
        <f>CLEAN("PE/STATE REVIEW ONLY")</f>
        <v>PE/STATE REVIEW ONLY</v>
      </c>
      <c r="H1026" s="2" t="str">
        <f t="shared" si="166"/>
        <v>NON HWY</v>
      </c>
      <c r="I1026" s="2" t="str">
        <f t="shared" si="165"/>
        <v>290</v>
      </c>
    </row>
    <row r="1027" spans="1:9" x14ac:dyDescent="0.35">
      <c r="A1027" s="2" t="str">
        <f t="shared" si="159"/>
        <v>MILWAUKEE</v>
      </c>
      <c r="B1027" s="2" t="str">
        <f t="shared" si="160"/>
        <v>CITY OF MILWAUKEE</v>
      </c>
      <c r="C1027" s="2" t="s">
        <v>3000</v>
      </c>
      <c r="D1027" s="2" t="str">
        <f>CLEAN("2984-37-02")</f>
        <v>2984-37-02</v>
      </c>
      <c r="E1027" s="3" t="str">
        <f>CLEAN("C MILWAUKEE  HARBOR RIVERWALK S")</f>
        <v>C MILWAUKEE  HARBOR RIVERWALK S</v>
      </c>
      <c r="F1027" s="3" t="str">
        <f>CLEAN("S KINNICKINNIC AVE TO .47 MI N")</f>
        <v>S KINNICKINNIC AVE TO .47 MI N</v>
      </c>
      <c r="G1027" s="3" t="str">
        <f>CLEAN("PE/STATE REVIEW ONLY")</f>
        <v>PE/STATE REVIEW ONLY</v>
      </c>
      <c r="H1027" s="2" t="str">
        <f t="shared" si="166"/>
        <v>NON HWY</v>
      </c>
      <c r="I1027" s="2" t="str">
        <f t="shared" si="165"/>
        <v>290</v>
      </c>
    </row>
    <row r="1028" spans="1:9" x14ac:dyDescent="0.35">
      <c r="A1028" s="2" t="str">
        <f t="shared" si="159"/>
        <v>MILWAUKEE</v>
      </c>
      <c r="B1028" s="2" t="str">
        <f t="shared" si="160"/>
        <v>CITY OF MILWAUKEE</v>
      </c>
      <c r="C1028" s="2" t="s">
        <v>3</v>
      </c>
      <c r="D1028" s="2" t="str">
        <f>CLEAN("2984-37-71")</f>
        <v>2984-37-71</v>
      </c>
      <c r="E1028" s="3" t="str">
        <f>CLEAN("C MILWAUKEE  HARBOR RIVERWALK N")</f>
        <v>C MILWAUKEE  HARBOR RIVERWALK N</v>
      </c>
      <c r="F1028" s="3" t="str">
        <f>CLEAN("E GREENFIELD AVE TO .14 MI S")</f>
        <v>E GREENFIELD AVE TO .14 MI S</v>
      </c>
      <c r="G1028" s="3" t="str">
        <f>CLEAN("--")</f>
        <v>--</v>
      </c>
      <c r="H1028" s="2" t="str">
        <f t="shared" si="166"/>
        <v>NON HWY</v>
      </c>
      <c r="I1028" s="2" t="str">
        <f t="shared" si="165"/>
        <v>290</v>
      </c>
    </row>
    <row r="1029" spans="1:9" x14ac:dyDescent="0.35">
      <c r="A1029" s="2" t="str">
        <f t="shared" si="159"/>
        <v>MILWAUKEE</v>
      </c>
      <c r="B1029" s="2" t="str">
        <f t="shared" si="160"/>
        <v>CITY OF MILWAUKEE</v>
      </c>
      <c r="C1029" s="2" t="s">
        <v>1006</v>
      </c>
      <c r="D1029" s="2" t="str">
        <f>CLEAN("2984-37-72")</f>
        <v>2984-37-72</v>
      </c>
      <c r="E1029" s="3" t="str">
        <f>CLEAN("C MILWAUKEE  HARBOR RIVERWALK S")</f>
        <v>C MILWAUKEE  HARBOR RIVERWALK S</v>
      </c>
      <c r="F1029" s="3" t="str">
        <f>CLEAN("S KINNICKINNIC AVE TO .47 MI N")</f>
        <v>S KINNICKINNIC AVE TO .47 MI N</v>
      </c>
      <c r="G1029" s="3" t="str">
        <f>CLEAN("CONST/RIVERWALK")</f>
        <v>CONST/RIVERWALK</v>
      </c>
      <c r="H1029" s="2" t="str">
        <f t="shared" si="166"/>
        <v>NON HWY</v>
      </c>
      <c r="I1029" s="2" t="str">
        <f t="shared" si="165"/>
        <v>290</v>
      </c>
    </row>
    <row r="1030" spans="1:9" x14ac:dyDescent="0.35">
      <c r="A1030" s="2" t="str">
        <f t="shared" si="159"/>
        <v>MILWAUKEE</v>
      </c>
      <c r="B1030" s="2" t="str">
        <f t="shared" si="160"/>
        <v>CITY OF MILWAUKEE</v>
      </c>
      <c r="C1030" s="2" t="s">
        <v>2885</v>
      </c>
      <c r="D1030" s="2" t="str">
        <f>CLEAN("2984-38-02")</f>
        <v>2984-38-02</v>
      </c>
      <c r="E1030" s="3" t="str">
        <f>CLEAN("C MILWAUKEE  N HOLTON ST")</f>
        <v>C MILWAUKEE  N HOLTON ST</v>
      </c>
      <c r="F1030" s="3" t="str">
        <f>CLEAN("AT E KEEFE  E CONCORDIA  E BURLEIGH")</f>
        <v>AT E KEEFE  E CONCORDIA  E BURLEIGH</v>
      </c>
      <c r="G1030" s="3" t="str">
        <f>CLEAN("PE/FULL PSE/ROUNDABOUTS")</f>
        <v>PE/FULL PSE/ROUNDABOUTS</v>
      </c>
      <c r="H1030" s="2" t="str">
        <f>CLEAN("LOC STR")</f>
        <v>LOC STR</v>
      </c>
      <c r="I1030" s="2" t="str">
        <f>CLEAN("206")</f>
        <v>206</v>
      </c>
    </row>
    <row r="1031" spans="1:9" x14ac:dyDescent="0.35">
      <c r="A1031" s="2" t="str">
        <f t="shared" si="159"/>
        <v>MILWAUKEE</v>
      </c>
      <c r="B1031" s="2" t="str">
        <f t="shared" si="160"/>
        <v>CITY OF MILWAUKEE</v>
      </c>
      <c r="C1031" s="2" t="s">
        <v>2878</v>
      </c>
      <c r="D1031" s="2" t="str">
        <f>CLEAN("2984-38-04")</f>
        <v>2984-38-04</v>
      </c>
      <c r="E1031" s="3" t="str">
        <f>CLEAN("C MILWAUKEE  N 51ST ST/BLVD")</f>
        <v>C MILWAUKEE  N 51ST ST/BLVD</v>
      </c>
      <c r="F1031" s="3" t="str">
        <f>CLEAN("AT HADLEY  LOCUST  CHAMBERS  KEEFE")</f>
        <v>AT HADLEY  LOCUST  CHAMBERS  KEEFE</v>
      </c>
      <c r="G1031" s="3" t="str">
        <f>CLEAN("PE/FULL PSE/RECST")</f>
        <v>PE/FULL PSE/RECST</v>
      </c>
      <c r="H1031" s="2" t="str">
        <f>CLEAN("LOC STR")</f>
        <v>LOC STR</v>
      </c>
      <c r="I1031" s="2" t="str">
        <f>CLEAN("206")</f>
        <v>206</v>
      </c>
    </row>
    <row r="1032" spans="1:9" x14ac:dyDescent="0.35">
      <c r="A1032" s="2" t="str">
        <f t="shared" si="159"/>
        <v>MILWAUKEE</v>
      </c>
      <c r="B1032" s="2" t="str">
        <f t="shared" si="160"/>
        <v>CITY OF MILWAUKEE</v>
      </c>
      <c r="C1032" s="2" t="s">
        <v>2935</v>
      </c>
      <c r="D1032" s="2" t="str">
        <f>CLEAN("2984-39-00")</f>
        <v>2984-39-00</v>
      </c>
      <c r="E1032" s="3" t="str">
        <f>CLEAN("C MILWAUKEE  PROTECTED BIKE STUDY")</f>
        <v>C MILWAUKEE  PROTECTED BIKE STUDY</v>
      </c>
      <c r="F1032" s="3" t="str">
        <f>CLEAN("LOCATIONS CITYWIDE")</f>
        <v>LOCATIONS CITYWIDE</v>
      </c>
      <c r="G1032" s="3" t="str">
        <f>CLEAN("PE/PROTECTED BIKE LN STUDY")</f>
        <v>PE/PROTECTED BIKE LN STUDY</v>
      </c>
      <c r="H1032" s="2" t="str">
        <f>CLEAN("NON HWY")</f>
        <v>NON HWY</v>
      </c>
      <c r="I1032" s="2" t="str">
        <f>CLEAN("290")</f>
        <v>290</v>
      </c>
    </row>
    <row r="1033" spans="1:9" x14ac:dyDescent="0.35">
      <c r="A1033" s="2" t="str">
        <f t="shared" si="159"/>
        <v>MILWAUKEE</v>
      </c>
      <c r="B1033" s="2" t="str">
        <f t="shared" si="160"/>
        <v>CITY OF MILWAUKEE</v>
      </c>
      <c r="C1033" s="2" t="s">
        <v>2872</v>
      </c>
      <c r="D1033" s="2" t="str">
        <f>CLEAN("2984-39-03")</f>
        <v>2984-39-03</v>
      </c>
      <c r="E1033" s="3" t="str">
        <f>CLEAN("C MILWAUKEE  PLANKINTON-2ND-MAPLE")</f>
        <v>C MILWAUKEE  PLANKINTON-2ND-MAPLE</v>
      </c>
      <c r="F1033" s="3" t="str">
        <f>CLEAN("FLORIDA ST-W MAPLE ST-S 1ST ST")</f>
        <v>FLORIDA ST-W MAPLE ST-S 1ST ST</v>
      </c>
      <c r="G1033" s="3" t="str">
        <f>CLEAN("PE/FULL PSE/PROTECTED BIKE LANE")</f>
        <v>PE/FULL PSE/PROTECTED BIKE LANE</v>
      </c>
      <c r="H1033" s="2" t="str">
        <f>CLEAN("LOC STR")</f>
        <v>LOC STR</v>
      </c>
      <c r="I1033" s="2" t="str">
        <f>CLEAN("290")</f>
        <v>290</v>
      </c>
    </row>
    <row r="1034" spans="1:9" x14ac:dyDescent="0.35">
      <c r="A1034" s="2" t="str">
        <f t="shared" ref="A1034:A1054" si="167">CLEAN("MILWAUKEE")</f>
        <v>MILWAUKEE</v>
      </c>
      <c r="B1034" s="2" t="str">
        <f t="shared" ref="B1034:B1054" si="168">CLEAN("CITY OF MILWAUKEE")</f>
        <v>CITY OF MILWAUKEE</v>
      </c>
      <c r="C1034" s="2" t="s">
        <v>1094</v>
      </c>
      <c r="D1034" s="2" t="str">
        <f>CLEAN("2984-44-90")</f>
        <v>2984-44-90</v>
      </c>
      <c r="E1034" s="3" t="str">
        <f>CLEAN("ATC CONTROLLER &amp; COMM UPGRADE GR 1")</f>
        <v>ATC CONTROLLER &amp; COMM UPGRADE GR 1</v>
      </c>
      <c r="F1034" s="3" t="str">
        <f>CLEAN("73 INTERSECTIONS")</f>
        <v>73 INTERSECTIONS</v>
      </c>
      <c r="G1034" s="3" t="str">
        <f>CLEAN("CONST/VARIOUS CORRIDORS N-W")</f>
        <v>CONST/VARIOUS CORRIDORS N-W</v>
      </c>
      <c r="H1034" s="2" t="str">
        <f>CLEAN("VAR HWY")</f>
        <v>VAR HWY</v>
      </c>
      <c r="I1034" s="2" t="str">
        <f>CLEAN("211")</f>
        <v>211</v>
      </c>
    </row>
    <row r="1035" spans="1:9" x14ac:dyDescent="0.35">
      <c r="A1035" s="2" t="str">
        <f t="shared" si="167"/>
        <v>MILWAUKEE</v>
      </c>
      <c r="B1035" s="2" t="str">
        <f t="shared" si="168"/>
        <v>CITY OF MILWAUKEE</v>
      </c>
      <c r="C1035" s="2" t="s">
        <v>30</v>
      </c>
      <c r="D1035" s="2" t="str">
        <f>CLEAN("2984-45-90")</f>
        <v>2984-45-90</v>
      </c>
      <c r="E1035" s="3" t="str">
        <f>CLEAN("ATC CONTROLLER &amp; COMM UPGRADE GR 2")</f>
        <v>ATC CONTROLLER &amp; COMM UPGRADE GR 2</v>
      </c>
      <c r="F1035" s="3" t="str">
        <f>CLEAN("71 INTERSECTIONS PER PROJ. APP.")</f>
        <v>71 INTERSECTIONS PER PROJ. APP.</v>
      </c>
      <c r="G1035" s="3" t="str">
        <f>CLEAN("CONS/CAPITOL/FONDDULAC/HAMPTON CORR")</f>
        <v>CONS/CAPITOL/FONDDULAC/HAMPTON CORR</v>
      </c>
      <c r="H1035" s="2" t="str">
        <f>CLEAN("VAR HWY")</f>
        <v>VAR HWY</v>
      </c>
      <c r="I1035" s="2" t="str">
        <f>CLEAN("211")</f>
        <v>211</v>
      </c>
    </row>
    <row r="1036" spans="1:9" x14ac:dyDescent="0.35">
      <c r="A1036" s="2" t="str">
        <f t="shared" si="167"/>
        <v>MILWAUKEE</v>
      </c>
      <c r="B1036" s="2" t="str">
        <f t="shared" si="168"/>
        <v>CITY OF MILWAUKEE</v>
      </c>
      <c r="C1036" s="2" t="s">
        <v>1093</v>
      </c>
      <c r="D1036" s="2" t="str">
        <f>CLEAN("2984-47-90")</f>
        <v>2984-47-90</v>
      </c>
      <c r="E1036" s="3" t="str">
        <f>CLEAN("ATC CONTROLLER &amp; COMM UPGRADE GR 4")</f>
        <v>ATC CONTROLLER &amp; COMM UPGRADE GR 4</v>
      </c>
      <c r="F1036" s="3" t="str">
        <f>CLEAN("65 INTERSECTIONS PER PROJ. APP.")</f>
        <v>65 INTERSECTIONS PER PROJ. APP.</v>
      </c>
      <c r="G1036" s="3" t="str">
        <f>CLEAN("CONST/VARIOUS CORRIDORS (NORTHSIDE)")</f>
        <v>CONST/VARIOUS CORRIDORS (NORTHSIDE)</v>
      </c>
      <c r="H1036" s="2" t="str">
        <f>CLEAN("VAR HWY")</f>
        <v>VAR HWY</v>
      </c>
      <c r="I1036" s="2" t="str">
        <f>CLEAN("211")</f>
        <v>211</v>
      </c>
    </row>
    <row r="1037" spans="1:9" x14ac:dyDescent="0.35">
      <c r="A1037" s="2" t="str">
        <f t="shared" si="167"/>
        <v>MILWAUKEE</v>
      </c>
      <c r="B1037" s="2" t="str">
        <f t="shared" si="168"/>
        <v>CITY OF MILWAUKEE</v>
      </c>
      <c r="C1037" s="2" t="s">
        <v>37</v>
      </c>
      <c r="D1037" s="2" t="str">
        <f>CLEAN("2984-48-90")</f>
        <v>2984-48-90</v>
      </c>
      <c r="E1037" s="3" t="str">
        <f>CLEAN("ATC CONTROLLER &amp; COMM UPGRADE GR 5")</f>
        <v>ATC CONTROLLER &amp; COMM UPGRADE GR 5</v>
      </c>
      <c r="F1037" s="3" t="str">
        <f>CLEAN("88 INTERSECTIONS PER PROJ. APP.")</f>
        <v>88 INTERSECTIONS PER PROJ. APP.</v>
      </c>
      <c r="G1037" s="3" t="str">
        <f>CLEAN("CONS/VARIOUS CORRIDORS (SOUTH SIDE)")</f>
        <v>CONS/VARIOUS CORRIDORS (SOUTH SIDE)</v>
      </c>
      <c r="H1037" s="2" t="str">
        <f>CLEAN("VAR HWY")</f>
        <v>VAR HWY</v>
      </c>
      <c r="I1037" s="2" t="str">
        <f>CLEAN("211")</f>
        <v>211</v>
      </c>
    </row>
    <row r="1038" spans="1:9" x14ac:dyDescent="0.35">
      <c r="A1038" s="2" t="str">
        <f t="shared" si="167"/>
        <v>MILWAUKEE</v>
      </c>
      <c r="B1038" s="2" t="str">
        <f t="shared" si="168"/>
        <v>CITY OF MILWAUKEE</v>
      </c>
      <c r="C1038" s="2" t="s">
        <v>2654</v>
      </c>
      <c r="D1038" s="2" t="str">
        <f>CLEAN("2984-50-00")</f>
        <v>2984-50-00</v>
      </c>
      <c r="E1038" s="3" t="str">
        <f>CLEAN("W CALUMET ROAD")</f>
        <v>W CALUMET ROAD</v>
      </c>
      <c r="F1038" s="3" t="str">
        <f>CLEAN("BRIDGE OVER LITTLE MENOMONEE RIVER")</f>
        <v>BRIDGE OVER LITTLE MENOMONEE RIVER</v>
      </c>
      <c r="G1038" s="3" t="str">
        <f>CLEAN("PE/BRIDGE REPLACEMENT P-40-0537")</f>
        <v>PE/BRIDGE REPLACEMENT P-40-0537</v>
      </c>
      <c r="H1038" s="2" t="str">
        <f>CLEAN("LOC STR")</f>
        <v>LOC STR</v>
      </c>
      <c r="I1038" s="2" t="str">
        <f>CLEAN("205")</f>
        <v>205</v>
      </c>
    </row>
    <row r="1039" spans="1:9" x14ac:dyDescent="0.35">
      <c r="A1039" s="2" t="str">
        <f t="shared" si="167"/>
        <v>MILWAUKEE</v>
      </c>
      <c r="B1039" s="2" t="str">
        <f t="shared" si="168"/>
        <v>CITY OF MILWAUKEE</v>
      </c>
      <c r="C1039" s="2" t="s">
        <v>478</v>
      </c>
      <c r="D1039" s="2" t="str">
        <f>CLEAN("2984-50-70")</f>
        <v>2984-50-70</v>
      </c>
      <c r="E1039" s="3" t="str">
        <f>CLEAN("W CALUMET ROAD")</f>
        <v>W CALUMET ROAD</v>
      </c>
      <c r="F1039" s="3" t="str">
        <f>CLEAN("BRIDGE OVER LITTLE MENOMONEE RIVER")</f>
        <v>BRIDGE OVER LITTLE MENOMONEE RIVER</v>
      </c>
      <c r="G1039" s="3" t="str">
        <f>CLEAN("CONST/BRIDGE REPLACEMENT P-40-0537")</f>
        <v>CONST/BRIDGE REPLACEMENT P-40-0537</v>
      </c>
      <c r="H1039" s="2" t="str">
        <f>CLEAN("LOC STR")</f>
        <v>LOC STR</v>
      </c>
      <c r="I1039" s="2" t="str">
        <f>CLEAN("205")</f>
        <v>205</v>
      </c>
    </row>
    <row r="1040" spans="1:9" x14ac:dyDescent="0.35">
      <c r="A1040" s="2" t="str">
        <f t="shared" si="167"/>
        <v>MILWAUKEE</v>
      </c>
      <c r="B1040" s="2" t="str">
        <f t="shared" si="168"/>
        <v>CITY OF MILWAUKEE</v>
      </c>
      <c r="C1040" s="2" t="s">
        <v>1765</v>
      </c>
      <c r="D1040" s="2" t="str">
        <f>CLEAN("2984-51-00")</f>
        <v>2984-51-00</v>
      </c>
      <c r="E1040" s="3" t="str">
        <f>CLEAN("S DANA COURT")</f>
        <v>S DANA COURT</v>
      </c>
      <c r="F1040" s="3" t="str">
        <f>CLEAN("BRIDGE OVER LAND P-40-0589")</f>
        <v>BRIDGE OVER LAND P-40-0589</v>
      </c>
      <c r="G1040" s="3" t="str">
        <f>CLEAN("DESIGN/BRIDGE REPLACEMENT")</f>
        <v>DESIGN/BRIDGE REPLACEMENT</v>
      </c>
      <c r="H1040" s="2" t="str">
        <f>CLEAN("LOC STR")</f>
        <v>LOC STR</v>
      </c>
      <c r="I1040" s="2" t="str">
        <f>CLEAN("205")</f>
        <v>205</v>
      </c>
    </row>
    <row r="1041" spans="1:9" x14ac:dyDescent="0.35">
      <c r="A1041" s="2" t="str">
        <f t="shared" si="167"/>
        <v>MILWAUKEE</v>
      </c>
      <c r="B1041" s="2" t="str">
        <f t="shared" si="168"/>
        <v>CITY OF MILWAUKEE</v>
      </c>
      <c r="C1041" s="2" t="s">
        <v>380</v>
      </c>
      <c r="D1041" s="2" t="str">
        <f>CLEAN("2984-51-70")</f>
        <v>2984-51-70</v>
      </c>
      <c r="E1041" s="3" t="str">
        <f>CLEAN("S DANA COURT")</f>
        <v>S DANA COURT</v>
      </c>
      <c r="F1041" s="3" t="str">
        <f>CLEAN("BRIDGE OVER LAND P-40-0589")</f>
        <v>BRIDGE OVER LAND P-40-0589</v>
      </c>
      <c r="G1041" s="3" t="str">
        <f>CLEAN("CONST/BRIDGE DECK REPLACEMENT")</f>
        <v>CONST/BRIDGE DECK REPLACEMENT</v>
      </c>
      <c r="H1041" s="2" t="str">
        <f>CLEAN("LOC STR")</f>
        <v>LOC STR</v>
      </c>
      <c r="I1041" s="2" t="str">
        <f>CLEAN("205")</f>
        <v>205</v>
      </c>
    </row>
    <row r="1042" spans="1:9" x14ac:dyDescent="0.35">
      <c r="A1042" s="2" t="str">
        <f t="shared" si="167"/>
        <v>MILWAUKEE</v>
      </c>
      <c r="B1042" s="2" t="str">
        <f t="shared" si="168"/>
        <v>CITY OF MILWAUKEE</v>
      </c>
      <c r="C1042" s="2" t="s">
        <v>3002</v>
      </c>
      <c r="D1042" s="2" t="str">
        <f>CLEAN("2984-55-01")</f>
        <v>2984-55-01</v>
      </c>
      <c r="E1042" s="3" t="str">
        <f>CLEAN("C MILWAUKEE  REPLACEMENT LIGHTING")</f>
        <v>C MILWAUKEE  REPLACEMENT LIGHTING</v>
      </c>
      <c r="F1042" s="3" t="str">
        <f>CLEAN("VARIOUS CITY LOCATIONS")</f>
        <v>VARIOUS CITY LOCATIONS</v>
      </c>
      <c r="G1042" s="3" t="str">
        <f>CLEAN("PE/STATE REVIEW ONLY")</f>
        <v>PE/STATE REVIEW ONLY</v>
      </c>
      <c r="H1042" s="2" t="str">
        <f>CLEAN("VAR HWY")</f>
        <v>VAR HWY</v>
      </c>
      <c r="I1042" s="2" t="str">
        <f>CLEAN("206")</f>
        <v>206</v>
      </c>
    </row>
    <row r="1043" spans="1:9" x14ac:dyDescent="0.35">
      <c r="A1043" s="2" t="str">
        <f t="shared" si="167"/>
        <v>MILWAUKEE</v>
      </c>
      <c r="B1043" s="2" t="str">
        <f t="shared" si="168"/>
        <v>CITY OF MILWAUKEE</v>
      </c>
      <c r="C1043" s="2" t="s">
        <v>3019</v>
      </c>
      <c r="D1043" s="2" t="str">
        <f>CLEAN("2984-55-02")</f>
        <v>2984-55-02</v>
      </c>
      <c r="E1043" s="3" t="str">
        <f>CLEAN("C MILWAUKEE TRAFFIC OPTIMIZATION")</f>
        <v>C MILWAUKEE TRAFFIC OPTIMIZATION</v>
      </c>
      <c r="F1043" s="3" t="str">
        <f>CLEAN("CITY WIDE")</f>
        <v>CITY WIDE</v>
      </c>
      <c r="G1043" s="3" t="str">
        <f>CLEAN("PE/TRAFFIC OPTIMIZATION")</f>
        <v>PE/TRAFFIC OPTIMIZATION</v>
      </c>
      <c r="H1043" s="2" t="str">
        <f>CLEAN("VAR HWY")</f>
        <v>VAR HWY</v>
      </c>
      <c r="I1043" s="2" t="str">
        <f>CLEAN("211")</f>
        <v>211</v>
      </c>
    </row>
    <row r="1044" spans="1:9" x14ac:dyDescent="0.35">
      <c r="A1044" s="2" t="str">
        <f t="shared" si="167"/>
        <v>MILWAUKEE</v>
      </c>
      <c r="B1044" s="2" t="str">
        <f t="shared" si="168"/>
        <v>CITY OF MILWAUKEE</v>
      </c>
      <c r="C1044" s="2" t="s">
        <v>3003</v>
      </c>
      <c r="D1044" s="2" t="str">
        <f>CLEAN("2984-55-03")</f>
        <v>2984-55-03</v>
      </c>
      <c r="E1044" s="3" t="str">
        <f>CLEAN("C MILWAUKEE  REPLACEMENT LIGHTING")</f>
        <v>C MILWAUKEE  REPLACEMENT LIGHTING</v>
      </c>
      <c r="F1044" s="3" t="str">
        <f>CLEAN("VARIOUS CITY LOCATIONS")</f>
        <v>VARIOUS CITY LOCATIONS</v>
      </c>
      <c r="G1044" s="3" t="str">
        <f>CLEAN("PE/STATE REVIEW ONLY")</f>
        <v>PE/STATE REVIEW ONLY</v>
      </c>
      <c r="H1044" s="2" t="str">
        <f>CLEAN("VAR HWY")</f>
        <v>VAR HWY</v>
      </c>
      <c r="I1044" s="2" t="str">
        <f>CLEAN("206")</f>
        <v>206</v>
      </c>
    </row>
    <row r="1045" spans="1:9" x14ac:dyDescent="0.35">
      <c r="A1045" s="2" t="str">
        <f t="shared" si="167"/>
        <v>MILWAUKEE</v>
      </c>
      <c r="B1045" s="2" t="str">
        <f t="shared" si="168"/>
        <v>CITY OF MILWAUKEE</v>
      </c>
      <c r="C1045" s="2" t="s">
        <v>3004</v>
      </c>
      <c r="D1045" s="2" t="str">
        <f>CLEAN("2984-55-04")</f>
        <v>2984-55-04</v>
      </c>
      <c r="E1045" s="3" t="str">
        <f>CLEAN("C MILWAUKEE  REPLACEMENT LIGHTING")</f>
        <v>C MILWAUKEE  REPLACEMENT LIGHTING</v>
      </c>
      <c r="F1045" s="3" t="str">
        <f>CLEAN("VARIOUS CITY LOCATIONS")</f>
        <v>VARIOUS CITY LOCATIONS</v>
      </c>
      <c r="G1045" s="3" t="str">
        <f>CLEAN("PE/STATE REVIEW ONLY")</f>
        <v>PE/STATE REVIEW ONLY</v>
      </c>
      <c r="H1045" s="2" t="str">
        <f>CLEAN("VAR HWY")</f>
        <v>VAR HWY</v>
      </c>
      <c r="I1045" s="2" t="str">
        <f>CLEAN("206")</f>
        <v>206</v>
      </c>
    </row>
    <row r="1046" spans="1:9" x14ac:dyDescent="0.35">
      <c r="A1046" s="2" t="str">
        <f t="shared" si="167"/>
        <v>MILWAUKEE</v>
      </c>
      <c r="B1046" s="2" t="str">
        <f t="shared" si="168"/>
        <v>CITY OF MILWAUKEE</v>
      </c>
      <c r="C1046" s="2" t="s">
        <v>2978</v>
      </c>
      <c r="D1046" s="2" t="str">
        <f>CLEAN("2984-55-10")</f>
        <v>2984-55-10</v>
      </c>
      <c r="E1046" s="3" t="str">
        <f>CLEAN("BIKE SHARE STATION &amp; FLEET EXP")</f>
        <v>BIKE SHARE STATION &amp; FLEET EXP</v>
      </c>
      <c r="F1046" s="3" t="str">
        <f>CLEAN("800 STATIONS AND 503 NEW BIKES")</f>
        <v>800 STATIONS AND 503 NEW BIKES</v>
      </c>
      <c r="G1046" s="3" t="str">
        <f>CLEAN("PE/STATE REVIEW ONLY")</f>
        <v>PE/STATE REVIEW ONLY</v>
      </c>
      <c r="H1046" s="2" t="str">
        <f>CLEAN("NON HWY")</f>
        <v>NON HWY</v>
      </c>
      <c r="I1046" s="2" t="str">
        <f>CLEAN("290")</f>
        <v>290</v>
      </c>
    </row>
    <row r="1047" spans="1:9" x14ac:dyDescent="0.35">
      <c r="A1047" s="2" t="str">
        <f t="shared" si="167"/>
        <v>MILWAUKEE</v>
      </c>
      <c r="B1047" s="2" t="str">
        <f t="shared" si="168"/>
        <v>CITY OF MILWAUKEE</v>
      </c>
      <c r="C1047" s="2" t="s">
        <v>597</v>
      </c>
      <c r="D1047" s="2" t="str">
        <f>CLEAN("2984-55-71")</f>
        <v>2984-55-71</v>
      </c>
      <c r="E1047" s="3" t="str">
        <f>CLEAN("C MILWAUKEE  REPLACEMENT LIGHTING")</f>
        <v>C MILWAUKEE  REPLACEMENT LIGHTING</v>
      </c>
      <c r="F1047" s="3" t="str">
        <f>CLEAN("VARIOUS CITY LOCATIONS")</f>
        <v>VARIOUS CITY LOCATIONS</v>
      </c>
      <c r="G1047" s="3" t="str">
        <f>CLEAN("CONST/LIGHTING")</f>
        <v>CONST/LIGHTING</v>
      </c>
      <c r="H1047" s="2" t="str">
        <f>CLEAN("VAR HWY")</f>
        <v>VAR HWY</v>
      </c>
      <c r="I1047" s="2" t="str">
        <f>CLEAN("206")</f>
        <v>206</v>
      </c>
    </row>
    <row r="1048" spans="1:9" x14ac:dyDescent="0.35">
      <c r="A1048" s="2" t="str">
        <f t="shared" si="167"/>
        <v>MILWAUKEE</v>
      </c>
      <c r="B1048" s="2" t="str">
        <f t="shared" si="168"/>
        <v>CITY OF MILWAUKEE</v>
      </c>
      <c r="C1048" s="2" t="s">
        <v>941</v>
      </c>
      <c r="D1048" s="2" t="str">
        <f>CLEAN("2984-55-73")</f>
        <v>2984-55-73</v>
      </c>
      <c r="E1048" s="3" t="str">
        <f>CLEAN("C MILWAUKEE  REPLACEMENT LIGHTING")</f>
        <v>C MILWAUKEE  REPLACEMENT LIGHTING</v>
      </c>
      <c r="F1048" s="3" t="str">
        <f>CLEAN("VARIOUS CITY LOCATIONS")</f>
        <v>VARIOUS CITY LOCATIONS</v>
      </c>
      <c r="G1048" s="3" t="str">
        <f>CLEAN("CONST/REPLACEMENT LIGHTING")</f>
        <v>CONST/REPLACEMENT LIGHTING</v>
      </c>
      <c r="H1048" s="2" t="str">
        <f>CLEAN("VAR HWY")</f>
        <v>VAR HWY</v>
      </c>
      <c r="I1048" s="2" t="str">
        <f>CLEAN("206")</f>
        <v>206</v>
      </c>
    </row>
    <row r="1049" spans="1:9" x14ac:dyDescent="0.35">
      <c r="A1049" s="2" t="str">
        <f t="shared" si="167"/>
        <v>MILWAUKEE</v>
      </c>
      <c r="B1049" s="2" t="str">
        <f t="shared" si="168"/>
        <v>CITY OF MILWAUKEE</v>
      </c>
      <c r="C1049" s="2" t="s">
        <v>942</v>
      </c>
      <c r="D1049" s="2" t="str">
        <f>CLEAN("2984-55-74")</f>
        <v>2984-55-74</v>
      </c>
      <c r="E1049" s="3" t="str">
        <f>CLEAN("C MILWAUKEE  REPLACEMENT LIGHTING")</f>
        <v>C MILWAUKEE  REPLACEMENT LIGHTING</v>
      </c>
      <c r="F1049" s="3" t="str">
        <f>CLEAN("VARIOUS CITY LOCATIONS")</f>
        <v>VARIOUS CITY LOCATIONS</v>
      </c>
      <c r="G1049" s="3" t="str">
        <f>CLEAN("CONST/REPLACEMENT LIGHTING")</f>
        <v>CONST/REPLACEMENT LIGHTING</v>
      </c>
      <c r="H1049" s="2" t="str">
        <f>CLEAN("VAR HWY")</f>
        <v>VAR HWY</v>
      </c>
      <c r="I1049" s="2" t="str">
        <f>CLEAN("206")</f>
        <v>206</v>
      </c>
    </row>
    <row r="1050" spans="1:9" x14ac:dyDescent="0.35">
      <c r="A1050" s="2" t="str">
        <f t="shared" si="167"/>
        <v>MILWAUKEE</v>
      </c>
      <c r="B1050" s="2" t="str">
        <f t="shared" si="168"/>
        <v>CITY OF MILWAUKEE</v>
      </c>
      <c r="C1050" s="2" t="s">
        <v>2578</v>
      </c>
      <c r="D1050" s="2" t="str">
        <f>CLEAN("2984-55-80")</f>
        <v>2984-55-80</v>
      </c>
      <c r="E1050" s="3" t="str">
        <f>CLEAN("BIKE SHARE STATION &amp; FLEET EXP")</f>
        <v>BIKE SHARE STATION &amp; FLEET EXP</v>
      </c>
      <c r="F1050" s="3" t="str">
        <f>CLEAN("800 STATIONS AND 503 NEW BIKES")</f>
        <v>800 STATIONS AND 503 NEW BIKES</v>
      </c>
      <c r="G1050" s="3" t="str">
        <f>CLEAN("MIS/PROCUREMENT")</f>
        <v>MIS/PROCUREMENT</v>
      </c>
      <c r="H1050" s="2" t="str">
        <f>CLEAN("NON HWY")</f>
        <v>NON HWY</v>
      </c>
      <c r="I1050" s="2" t="str">
        <f>CLEAN("290")</f>
        <v>290</v>
      </c>
    </row>
    <row r="1051" spans="1:9" x14ac:dyDescent="0.35">
      <c r="A1051" s="2" t="str">
        <f t="shared" si="167"/>
        <v>MILWAUKEE</v>
      </c>
      <c r="B1051" s="2" t="str">
        <f t="shared" si="168"/>
        <v>CITY OF MILWAUKEE</v>
      </c>
      <c r="C1051" s="2" t="s">
        <v>3358</v>
      </c>
      <c r="D1051" s="2" t="str">
        <f>CLEAN("3700-03-00")</f>
        <v>3700-03-00</v>
      </c>
      <c r="E1051" s="3" t="str">
        <f>CLEAN("INSTALL TRAFFIC SIGNAL FACE 12-INCH")</f>
        <v>INSTALL TRAFFIC SIGNAL FACE 12-INCH</v>
      </c>
      <c r="F1051" s="3" t="str">
        <f>CLEAN("36 CONNECTING HIGHWAY INTERSECTIONS")</f>
        <v>36 CONNECTING HIGHWAY INTERSECTIONS</v>
      </c>
      <c r="G1051" s="3" t="str">
        <f>CLEAN("TRAFFIC SIGNALS/FLASHERS")</f>
        <v>TRAFFIC SIGNALS/FLASHERS</v>
      </c>
      <c r="H1051" s="2" t="str">
        <f>CLEAN("VAR HWY")</f>
        <v>VAR HWY</v>
      </c>
      <c r="I1051" s="2" t="str">
        <f>CLEAN("305")</f>
        <v>305</v>
      </c>
    </row>
    <row r="1052" spans="1:9" x14ac:dyDescent="0.35">
      <c r="A1052" s="2" t="str">
        <f t="shared" si="167"/>
        <v>MILWAUKEE</v>
      </c>
      <c r="B1052" s="2" t="str">
        <f t="shared" si="168"/>
        <v>CITY OF MILWAUKEE</v>
      </c>
      <c r="C1052" s="2" t="s">
        <v>3356</v>
      </c>
      <c r="D1052" s="2" t="str">
        <f>CLEAN("3700-04-00")</f>
        <v>3700-04-00</v>
      </c>
      <c r="E1052" s="3" t="str">
        <f>CLEAN("INSTALL TRAFFIC SIGNAL FACE 12-INCH")</f>
        <v>INSTALL TRAFFIC SIGNAL FACE 12-INCH</v>
      </c>
      <c r="F1052" s="3" t="str">
        <f>CLEAN("35 CONNECTING HWY INTERSCTS N SIDE")</f>
        <v>35 CONNECTING HWY INTERSCTS N SIDE</v>
      </c>
      <c r="G1052" s="3" t="str">
        <f>CLEAN("TRAFFIC SIGNAL/FLASHERS")</f>
        <v>TRAFFIC SIGNAL/FLASHERS</v>
      </c>
      <c r="H1052" s="2" t="str">
        <f>CLEAN("VAR HWY")</f>
        <v>VAR HWY</v>
      </c>
      <c r="I1052" s="2" t="str">
        <f>CLEAN("305")</f>
        <v>305</v>
      </c>
    </row>
    <row r="1053" spans="1:9" x14ac:dyDescent="0.35">
      <c r="A1053" s="2" t="str">
        <f t="shared" si="167"/>
        <v>MILWAUKEE</v>
      </c>
      <c r="B1053" s="2" t="str">
        <f t="shared" si="168"/>
        <v>CITY OF MILWAUKEE</v>
      </c>
      <c r="C1053" s="2" t="s">
        <v>1045</v>
      </c>
      <c r="D1053" s="2" t="str">
        <f>CLEAN("3700-06-71")</f>
        <v>3700-06-71</v>
      </c>
      <c r="E1053" s="3" t="str">
        <f>CLEAN("INSTALL VIDEO DETECTION")</f>
        <v>INSTALL VIDEO DETECTION</v>
      </c>
      <c r="F1053" s="3" t="str">
        <f>CLEAN("7 CONNECTING HIGHWAY INTERSECTIONS")</f>
        <v>7 CONNECTING HIGHWAY INTERSECTIONS</v>
      </c>
      <c r="G1053" s="3" t="str">
        <f>CLEAN("CONST/SIGNAL/SE2308L")</f>
        <v>CONST/SIGNAL/SE2308L</v>
      </c>
      <c r="H1053" s="2" t="str">
        <f>CLEAN("VAR HWY")</f>
        <v>VAR HWY</v>
      </c>
      <c r="I1053" s="2" t="str">
        <f>CLEAN("305")</f>
        <v>305</v>
      </c>
    </row>
    <row r="1054" spans="1:9" x14ac:dyDescent="0.35">
      <c r="A1054" s="2" t="str">
        <f t="shared" si="167"/>
        <v>MILWAUKEE</v>
      </c>
      <c r="B1054" s="2" t="str">
        <f t="shared" si="168"/>
        <v>CITY OF MILWAUKEE</v>
      </c>
      <c r="C1054" s="2" t="s">
        <v>1044</v>
      </c>
      <c r="D1054" s="2" t="str">
        <f>CLEAN("3700-06-72")</f>
        <v>3700-06-72</v>
      </c>
      <c r="E1054" s="3" t="str">
        <f>CLEAN("INSTALL TRAFFIC SIGNAL FACE 12 INCH")</f>
        <v>INSTALL TRAFFIC SIGNAL FACE 12 INCH</v>
      </c>
      <c r="F1054" s="3" t="str">
        <f>CLEAN("34 CONNECTING HIGHWAY INTERSECTIONS")</f>
        <v>34 CONNECTING HIGHWAY INTERSECTIONS</v>
      </c>
      <c r="G1054" s="3" t="str">
        <f>CLEAN("CONST/SIGNAL/SE2307L")</f>
        <v>CONST/SIGNAL/SE2307L</v>
      </c>
      <c r="H1054" s="2" t="str">
        <f>CLEAN("VAR HWY")</f>
        <v>VAR HWY</v>
      </c>
      <c r="I1054" s="2" t="str">
        <f>CLEAN("305")</f>
        <v>305</v>
      </c>
    </row>
    <row r="1055" spans="1:9" x14ac:dyDescent="0.35">
      <c r="A1055" s="2" t="str">
        <f>CLEAN("BUFFALO")</f>
        <v>BUFFALO</v>
      </c>
      <c r="B1055" s="2" t="str">
        <f>CLEAN("CITY OF MONDOVI")</f>
        <v>CITY OF MONDOVI</v>
      </c>
      <c r="C1055" s="2" t="s">
        <v>1504</v>
      </c>
      <c r="D1055" s="2" t="str">
        <f>CLEAN("1530-05-04")</f>
        <v>1530-05-04</v>
      </c>
      <c r="E1055" s="3" t="str">
        <f>CLEAN("C MONDOVI  MAIN STREET")</f>
        <v>C MONDOVI  MAIN STREET</v>
      </c>
      <c r="F1055" s="3" t="str">
        <f>CLEAN("CTH A TO 1580FT E OF STH 37 N")</f>
        <v>CTH A TO 1580FT E OF STH 37 N</v>
      </c>
      <c r="G1055" s="3" t="str">
        <f>CLEAN("DESIGN - FULL PS&amp;E PVRPLA")</f>
        <v>DESIGN - FULL PS&amp;E PVRPLA</v>
      </c>
      <c r="H1055" s="2" t="str">
        <f>CLEAN("USH 010")</f>
        <v>USH 010</v>
      </c>
      <c r="I1055" s="2" t="str">
        <f>CLEAN("303")</f>
        <v>303</v>
      </c>
    </row>
    <row r="1056" spans="1:9" x14ac:dyDescent="0.35">
      <c r="A1056" s="2" t="str">
        <f>CLEAN("EAU CLAIRE")</f>
        <v>EAU CLAIRE</v>
      </c>
      <c r="B1056" s="2" t="str">
        <f>CLEAN("CITY OF MONDOVI")</f>
        <v>CITY OF MONDOVI</v>
      </c>
      <c r="C1056" s="2" t="s">
        <v>1142</v>
      </c>
      <c r="D1056" s="2" t="str">
        <f>CLEAN("7110-00-70")</f>
        <v>7110-00-70</v>
      </c>
      <c r="E1056" s="3" t="str">
        <f>CLEAN("MONDOVI - EAU CLAIRE")</f>
        <v>MONDOVI - EAU CLAIRE</v>
      </c>
      <c r="F1056" s="3" t="str">
        <f>CLEAN("USH 10 TO STH 85")</f>
        <v>USH 10 TO STH 85</v>
      </c>
      <c r="G1056" s="3" t="str">
        <f>CLEAN("CONSTR/RESURFACE/BRRHB/SAFETY")</f>
        <v>CONSTR/RESURFACE/BRRHB/SAFETY</v>
      </c>
      <c r="H1056" s="2" t="str">
        <f>CLEAN("STH 037")</f>
        <v>STH 037</v>
      </c>
      <c r="I1056" s="2" t="str">
        <f>CLEAN("303")</f>
        <v>303</v>
      </c>
    </row>
    <row r="1057" spans="1:9" x14ac:dyDescent="0.35">
      <c r="A1057" s="2" t="str">
        <f>CLEAN("BUFFALO")</f>
        <v>BUFFALO</v>
      </c>
      <c r="B1057" s="2" t="str">
        <f>CLEAN("CITY OF MONDOVI")</f>
        <v>CITY OF MONDOVI</v>
      </c>
      <c r="C1057" s="2" t="s">
        <v>3164</v>
      </c>
      <c r="D1057" s="2" t="str">
        <f>CLEAN("7125-00-20")</f>
        <v>7125-00-20</v>
      </c>
      <c r="E1057" s="3" t="str">
        <f>CLEAN("ALMA - MONDOVI")</f>
        <v>ALMA - MONDOVI</v>
      </c>
      <c r="F1057" s="3" t="str">
        <f>CLEAN("STH 88 TO USH 10")</f>
        <v>STH 88 TO USH 10</v>
      </c>
      <c r="G1057" s="3" t="str">
        <f>CLEAN("REAL ESTATE ACQUISITION")</f>
        <v>REAL ESTATE ACQUISITION</v>
      </c>
      <c r="H1057" s="2" t="str">
        <f>CLEAN("STH 037")</f>
        <v>STH 037</v>
      </c>
      <c r="I1057" s="2" t="str">
        <f>CLEAN("303")</f>
        <v>303</v>
      </c>
    </row>
    <row r="1058" spans="1:9" x14ac:dyDescent="0.35">
      <c r="A1058" s="2" t="str">
        <f>CLEAN("BUFFALO")</f>
        <v>BUFFALO</v>
      </c>
      <c r="B1058" s="2" t="str">
        <f>CLEAN("CITY OF MONDOVI")</f>
        <v>CITY OF MONDOVI</v>
      </c>
      <c r="C1058" s="2" t="s">
        <v>1296</v>
      </c>
      <c r="D1058" s="2" t="str">
        <f>CLEAN("7125-00-70")</f>
        <v>7125-00-70</v>
      </c>
      <c r="E1058" s="3" t="str">
        <f>CLEAN("ALMA - MONDOVI")</f>
        <v>ALMA - MONDOVI</v>
      </c>
      <c r="F1058" s="3" t="str">
        <f>CLEAN("STH 88 TO USH 10")</f>
        <v>STH 88 TO USH 10</v>
      </c>
      <c r="G1058" s="3" t="str">
        <f>CLEAN("CONSTRUCTION/PAVEMENT REPLACEMENT")</f>
        <v>CONSTRUCTION/PAVEMENT REPLACEMENT</v>
      </c>
      <c r="H1058" s="2" t="str">
        <f>CLEAN("STH 037")</f>
        <v>STH 037</v>
      </c>
      <c r="I1058" s="2" t="str">
        <f>CLEAN("303")</f>
        <v>303</v>
      </c>
    </row>
    <row r="1059" spans="1:9" x14ac:dyDescent="0.35">
      <c r="A1059" s="2" t="str">
        <f>CLEAN("BUFFALO")</f>
        <v>BUFFALO</v>
      </c>
      <c r="B1059" s="2" t="str">
        <f>CLEAN("CITY OF MONDOVI")</f>
        <v>CITY OF MONDOVI</v>
      </c>
      <c r="C1059" s="2" t="s">
        <v>1288</v>
      </c>
      <c r="D1059" s="2" t="str">
        <f>CLEAN("7125-00-72")</f>
        <v>7125-00-72</v>
      </c>
      <c r="E1059" s="3" t="str">
        <f>CLEAN("ALMA - MONDOVI")</f>
        <v>ALMA - MONDOVI</v>
      </c>
      <c r="F1059" s="3" t="str">
        <f>CLEAN("STH 88 TO USH 10")</f>
        <v>STH 88 TO USH 10</v>
      </c>
      <c r="G1059" s="3" t="str">
        <f>CLEAN("CONSTRUCTION/LOCAL UTILITIES")</f>
        <v>CONSTRUCTION/LOCAL UTILITIES</v>
      </c>
      <c r="H1059" s="2" t="str">
        <f>CLEAN("STH 037")</f>
        <v>STH 037</v>
      </c>
      <c r="I1059" s="2" t="str">
        <f>CLEAN("303")</f>
        <v>303</v>
      </c>
    </row>
    <row r="1060" spans="1:9" x14ac:dyDescent="0.35">
      <c r="A1060" s="2" t="str">
        <f>CLEAN("DANE")</f>
        <v>DANE</v>
      </c>
      <c r="B1060" s="2" t="str">
        <f>CLEAN("CITY OF MONONA")</f>
        <v>CITY OF MONONA</v>
      </c>
      <c r="C1060" s="2" t="s">
        <v>528</v>
      </c>
      <c r="D1060" s="2" t="str">
        <f>CLEAN("5994-02-18")</f>
        <v>5994-02-18</v>
      </c>
      <c r="E1060" s="3" t="str">
        <f>CLEAN("C MONONA  LED STREET LIGHTS")</f>
        <v>C MONONA  LED STREET LIGHTS</v>
      </c>
      <c r="F1060" s="3" t="str">
        <f>CLEAN("VARIOUS LOCATIONS - C MONONA")</f>
        <v>VARIOUS LOCATIONS - C MONONA</v>
      </c>
      <c r="G1060" s="3" t="str">
        <f>CLEAN("CONST/CARBON RED-LED LIGHTING")</f>
        <v>CONST/CARBON RED-LED LIGHTING</v>
      </c>
      <c r="H1060" s="2" t="str">
        <f>CLEAN("VAR HWY")</f>
        <v>VAR HWY</v>
      </c>
      <c r="I1060" s="2" t="str">
        <f>CLEAN("206")</f>
        <v>206</v>
      </c>
    </row>
    <row r="1061" spans="1:9" x14ac:dyDescent="0.35">
      <c r="A1061" s="2" t="str">
        <f>CLEAN("DANE")</f>
        <v>DANE</v>
      </c>
      <c r="B1061" s="2" t="str">
        <f>CLEAN("CITY OF MONONA")</f>
        <v>CITY OF MONONA</v>
      </c>
      <c r="C1061" s="2" t="s">
        <v>2224</v>
      </c>
      <c r="D1061" s="2" t="str">
        <f>CLEAN("5994-00-01")</f>
        <v>5994-00-01</v>
      </c>
      <c r="E1061" s="3" t="str">
        <f>CLEAN("CITY OF MONONA  NICHOLS AVENUE")</f>
        <v>CITY OF MONONA  NICHOLS AVENUE</v>
      </c>
      <c r="F1061" s="3" t="str">
        <f>CLEAN("WINNEQUAH ROAD TO MONONA DRIVE")</f>
        <v>WINNEQUAH ROAD TO MONONA DRIVE</v>
      </c>
      <c r="G1061" s="3" t="str">
        <f>CLEAN("DESIGN/PLAN CHECK REVIEW/RECST")</f>
        <v>DESIGN/PLAN CHECK REVIEW/RECST</v>
      </c>
      <c r="H1061" s="2" t="str">
        <f>CLEAN("LOC STR")</f>
        <v>LOC STR</v>
      </c>
      <c r="I1061" s="2" t="str">
        <f>CLEAN("206")</f>
        <v>206</v>
      </c>
    </row>
    <row r="1062" spans="1:9" x14ac:dyDescent="0.35">
      <c r="A1062" s="2" t="str">
        <f>CLEAN("DANE")</f>
        <v>DANE</v>
      </c>
      <c r="B1062" s="2" t="str">
        <f>CLEAN("CITY OF MONONA")</f>
        <v>CITY OF MONONA</v>
      </c>
      <c r="C1062" s="2" t="s">
        <v>1789</v>
      </c>
      <c r="D1062" s="2" t="str">
        <f>CLEAN("5994-01-00")</f>
        <v>5994-01-00</v>
      </c>
      <c r="E1062" s="3" t="str">
        <f>CLEAN("CITY OF MONONA  TECUMSEH AVENUE")</f>
        <v>CITY OF MONONA  TECUMSEH AVENUE</v>
      </c>
      <c r="F1062" s="3" t="str">
        <f>CLEAN("LAGOON DU NORD BRIDGE B-13-0074")</f>
        <v>LAGOON DU NORD BRIDGE B-13-0074</v>
      </c>
      <c r="G1062" s="3" t="str">
        <f>CLEAN("DESIGN/BRIDGE REPLACEMENT")</f>
        <v>DESIGN/BRIDGE REPLACEMENT</v>
      </c>
      <c r="H1062" s="2" t="str">
        <f>CLEAN("LOC STR")</f>
        <v>LOC STR</v>
      </c>
      <c r="I1062" s="2" t="str">
        <f>CLEAN("205")</f>
        <v>205</v>
      </c>
    </row>
    <row r="1063" spans="1:9" x14ac:dyDescent="0.35">
      <c r="A1063" s="2" t="str">
        <f>CLEAN("DANE")</f>
        <v>DANE</v>
      </c>
      <c r="B1063" s="2" t="str">
        <f>CLEAN("CITY OF MONONA")</f>
        <v>CITY OF MONONA</v>
      </c>
      <c r="C1063" s="2" t="s">
        <v>106</v>
      </c>
      <c r="D1063" s="2" t="str">
        <f>CLEAN("5994-01-70")</f>
        <v>5994-01-70</v>
      </c>
      <c r="E1063" s="3" t="str">
        <f>CLEAN("CITY OF MONONA  TECUMSEH AVENUE")</f>
        <v>CITY OF MONONA  TECUMSEH AVENUE</v>
      </c>
      <c r="F1063" s="3" t="str">
        <f>CLEAN("LAGOON DU NORD BRIDGE B-13-0906")</f>
        <v>LAGOON DU NORD BRIDGE B-13-0906</v>
      </c>
      <c r="G1063" s="3" t="str">
        <f>CLEAN("CONST OPS/BRIDGE REPLACEMENT")</f>
        <v>CONST OPS/BRIDGE REPLACEMENT</v>
      </c>
      <c r="H1063" s="2" t="str">
        <f>CLEAN("LOC STR")</f>
        <v>LOC STR</v>
      </c>
      <c r="I1063" s="2" t="str">
        <f>CLEAN("205")</f>
        <v>205</v>
      </c>
    </row>
    <row r="1064" spans="1:9" x14ac:dyDescent="0.35">
      <c r="A1064" s="2" t="str">
        <f>CLEAN("GREEN")</f>
        <v>GREEN</v>
      </c>
      <c r="B1064" s="2" t="str">
        <f>CLEAN("CITY OF MONROE")</f>
        <v>CITY OF MONROE</v>
      </c>
      <c r="C1064" s="2" t="s">
        <v>3402</v>
      </c>
      <c r="D1064" s="2" t="str">
        <f>CLEAN("3700-11-80")</f>
        <v>3700-11-80</v>
      </c>
      <c r="E1064" s="3" t="str">
        <f>CLEAN("CITY OF MONROE")</f>
        <v>CITY OF MONROE</v>
      </c>
      <c r="F1064" s="3" t="str">
        <f>CLEAN("STH 69/7TH AVENUE &amp; 6TH STREET")</f>
        <v>STH 69/7TH AVENUE &amp; 6TH STREET</v>
      </c>
      <c r="G1064" s="3" t="str">
        <f>CLEAN("TRF/ DES SIGNAL RETROFIT/ TOSIG")</f>
        <v>TRF/ DES SIGNAL RETROFIT/ TOSIG</v>
      </c>
      <c r="H1064" s="2" t="str">
        <f>CLEAN("STH 069")</f>
        <v>STH 069</v>
      </c>
      <c r="I1064" s="2" t="str">
        <f>CLEAN("305")</f>
        <v>305</v>
      </c>
    </row>
    <row r="1065" spans="1:9" x14ac:dyDescent="0.35">
      <c r="A1065" s="2" t="str">
        <f>CLEAN("GREEN")</f>
        <v>GREEN</v>
      </c>
      <c r="B1065" s="2" t="str">
        <f>CLEAN("CITY OF MONROE")</f>
        <v>CITY OF MONROE</v>
      </c>
      <c r="C1065" s="2" t="s">
        <v>3393</v>
      </c>
      <c r="D1065" s="2" t="str">
        <f>CLEAN("3700-11-81")</f>
        <v>3700-11-81</v>
      </c>
      <c r="E1065" s="3" t="str">
        <f>CLEAN("CITY OF MONROE")</f>
        <v>CITY OF MONROE</v>
      </c>
      <c r="F1065" s="3" t="str">
        <f>CLEAN("STH 69/7TH AVENUE &amp; 6TH STREET")</f>
        <v>STH 69/7TH AVENUE &amp; 6TH STREET</v>
      </c>
      <c r="G1065" s="3" t="str">
        <f>CLEAN("TRF/ CONST SIGNAL RETROFIT/ TOSIG")</f>
        <v>TRF/ CONST SIGNAL RETROFIT/ TOSIG</v>
      </c>
      <c r="H1065" s="2" t="str">
        <f>CLEAN("STH 069")</f>
        <v>STH 069</v>
      </c>
      <c r="I1065" s="2" t="str">
        <f>CLEAN("305")</f>
        <v>305</v>
      </c>
    </row>
    <row r="1066" spans="1:9" x14ac:dyDescent="0.35">
      <c r="A1066" s="2" t="str">
        <f>CLEAN("MARQUETTE")</f>
        <v>MARQUETTE</v>
      </c>
      <c r="B1066" s="2" t="str">
        <f>CLEAN("CITY OF MONTELLO")</f>
        <v>CITY OF MONTELLO</v>
      </c>
      <c r="C1066" s="2" t="s">
        <v>811</v>
      </c>
      <c r="D1066" s="2" t="str">
        <f>CLEAN("1430-00-87")</f>
        <v>1430-00-87</v>
      </c>
      <c r="E1066" s="3" t="str">
        <f>CLEAN("CITY OF MONTELLO  UNDERWOOD AVENUE")</f>
        <v>CITY OF MONTELLO  UNDERWOOD AVENUE</v>
      </c>
      <c r="F1066" s="3" t="str">
        <f>CLEAN("PARK STREET TO WEST STREET")</f>
        <v>PARK STREET TO WEST STREET</v>
      </c>
      <c r="G1066" s="3" t="str">
        <f>CLEAN("CONST/RECONSTRUCT/LOCAL UTILITY")</f>
        <v>CONST/RECONSTRUCT/LOCAL UTILITY</v>
      </c>
      <c r="H1066" s="2" t="str">
        <f>CLEAN("STH 023")</f>
        <v>STH 023</v>
      </c>
      <c r="I1066" s="2" t="str">
        <f t="shared" ref="I1066:I1072" si="169">CLEAN("303")</f>
        <v>303</v>
      </c>
    </row>
    <row r="1067" spans="1:9" x14ac:dyDescent="0.35">
      <c r="A1067" s="2" t="str">
        <f>CLEAN("MARQUETTE")</f>
        <v>MARQUETTE</v>
      </c>
      <c r="B1067" s="2" t="str">
        <f>CLEAN("CITY OF MONTELLO")</f>
        <v>CITY OF MONTELLO</v>
      </c>
      <c r="C1067" s="2" t="s">
        <v>603</v>
      </c>
      <c r="D1067" s="2" t="str">
        <f>CLEAN("1430-00-89")</f>
        <v>1430-00-89</v>
      </c>
      <c r="E1067" s="3" t="str">
        <f>CLEAN("CITY OF MONTELLO  UNDERWOOD AVENUE")</f>
        <v>CITY OF MONTELLO  UNDERWOOD AVENUE</v>
      </c>
      <c r="F1067" s="3" t="str">
        <f>CLEAN("MORNINGSIDE COURT TO PARK STREET")</f>
        <v>MORNINGSIDE COURT TO PARK STREET</v>
      </c>
      <c r="G1067" s="3" t="str">
        <f>CLEAN("CONST/LOCAL UTILITY")</f>
        <v>CONST/LOCAL UTILITY</v>
      </c>
      <c r="H1067" s="2" t="str">
        <f>CLEAN("STH 023")</f>
        <v>STH 023</v>
      </c>
      <c r="I1067" s="2" t="str">
        <f t="shared" si="169"/>
        <v>303</v>
      </c>
    </row>
    <row r="1068" spans="1:9" x14ac:dyDescent="0.35">
      <c r="A1068" s="2" t="str">
        <f>CLEAN("MARQUETTE")</f>
        <v>MARQUETTE</v>
      </c>
      <c r="B1068" s="2" t="str">
        <f>CLEAN("CITY OF MONTELLO")</f>
        <v>CITY OF MONTELLO</v>
      </c>
      <c r="C1068" s="2" t="s">
        <v>1133</v>
      </c>
      <c r="D1068" s="2" t="str">
        <f>CLEAN("6150-01-77")</f>
        <v>6150-01-77</v>
      </c>
      <c r="E1068" s="3" t="str">
        <f>CLEAN("C MONTELLO  CHURCH STREET")</f>
        <v>C MONTELLO  CHURCH STREET</v>
      </c>
      <c r="F1068" s="3" t="str">
        <f>CLEAN("N JCT STH 23 TO PARK STREET")</f>
        <v>N JCT STH 23 TO PARK STREET</v>
      </c>
      <c r="G1068" s="3" t="str">
        <f>CLEAN("CONSTR/RECONSTRUCTION")</f>
        <v>CONSTR/RECONSTRUCTION</v>
      </c>
      <c r="H1068" s="2" t="str">
        <f>CLEAN("STH 022")</f>
        <v>STH 022</v>
      </c>
      <c r="I1068" s="2" t="str">
        <f t="shared" si="169"/>
        <v>303</v>
      </c>
    </row>
    <row r="1069" spans="1:9" x14ac:dyDescent="0.35">
      <c r="A1069" s="2" t="str">
        <f>CLEAN("MARQUETTE")</f>
        <v>MARQUETTE</v>
      </c>
      <c r="B1069" s="2" t="str">
        <f>CLEAN("CITY OF MONTELLO")</f>
        <v>CITY OF MONTELLO</v>
      </c>
      <c r="C1069" s="2" t="s">
        <v>1126</v>
      </c>
      <c r="D1069" s="2" t="str">
        <f>CLEAN("6150-01-78")</f>
        <v>6150-01-78</v>
      </c>
      <c r="E1069" s="3" t="str">
        <f>CLEAN("C MONTELLO  CHURCH STREET")</f>
        <v>C MONTELLO  CHURCH STREET</v>
      </c>
      <c r="F1069" s="3" t="str">
        <f>CLEAN("N JCT STH 23 TO PARK STREET")</f>
        <v>N JCT STH 23 TO PARK STREET</v>
      </c>
      <c r="G1069" s="3" t="str">
        <f>CLEAN("CONSTR/LOCAL UTILITY")</f>
        <v>CONSTR/LOCAL UTILITY</v>
      </c>
      <c r="H1069" s="2" t="str">
        <f>CLEAN("STH 022")</f>
        <v>STH 022</v>
      </c>
      <c r="I1069" s="2" t="str">
        <f t="shared" si="169"/>
        <v>303</v>
      </c>
    </row>
    <row r="1070" spans="1:9" x14ac:dyDescent="0.35">
      <c r="A1070" s="2" t="str">
        <f>CLEAN("MARATHON")</f>
        <v>MARATHON</v>
      </c>
      <c r="B1070" s="2" t="str">
        <f>CLEAN("CITY OF MOSINEE")</f>
        <v>CITY OF MOSINEE</v>
      </c>
      <c r="C1070" s="2" t="s">
        <v>944</v>
      </c>
      <c r="D1070" s="2" t="str">
        <f>CLEAN("6370-01-73")</f>
        <v>6370-01-73</v>
      </c>
      <c r="E1070" s="3" t="str">
        <f>CLEAN("C MOSINEE  4TH ST AND MAIN ST")</f>
        <v>C MOSINEE  4TH ST AND MAIN ST</v>
      </c>
      <c r="F1070" s="3" t="str">
        <f>CLEAN("PINE ST TO WISCONSIN RIVER BRIDGE")</f>
        <v>PINE ST TO WISCONSIN RIVER BRIDGE</v>
      </c>
      <c r="G1070" s="3" t="str">
        <f>CLEAN("CONST/RESURF")</f>
        <v>CONST/RESURF</v>
      </c>
      <c r="H1070" s="2" t="str">
        <f>CLEAN("STH 153")</f>
        <v>STH 153</v>
      </c>
      <c r="I1070" s="2" t="str">
        <f t="shared" si="169"/>
        <v>303</v>
      </c>
    </row>
    <row r="1071" spans="1:9" x14ac:dyDescent="0.35">
      <c r="A1071" s="2" t="str">
        <f>CLEAN("MARATHON")</f>
        <v>MARATHON</v>
      </c>
      <c r="B1071" s="2" t="str">
        <f>CLEAN("CITY OF MOSINEE")</f>
        <v>CITY OF MOSINEE</v>
      </c>
      <c r="C1071" s="2" t="s">
        <v>723</v>
      </c>
      <c r="D1071" s="2" t="str">
        <f>CLEAN("6370-01-75")</f>
        <v>6370-01-75</v>
      </c>
      <c r="E1071" s="3" t="str">
        <f>CLEAN("C MOSINEE  WESTERN AVE AND 4TH ST")</f>
        <v>C MOSINEE  WESTERN AVE AND 4TH ST</v>
      </c>
      <c r="F1071" s="3" t="str">
        <f>CLEAN("RANGELINE ROAD TO PINE STREET")</f>
        <v>RANGELINE ROAD TO PINE STREET</v>
      </c>
      <c r="G1071" s="3" t="str">
        <f>CLEAN("CONST/PVRPLA")</f>
        <v>CONST/PVRPLA</v>
      </c>
      <c r="H1071" s="2" t="str">
        <f>CLEAN("STH 153")</f>
        <v>STH 153</v>
      </c>
      <c r="I1071" s="2" t="str">
        <f t="shared" si="169"/>
        <v>303</v>
      </c>
    </row>
    <row r="1072" spans="1:9" x14ac:dyDescent="0.35">
      <c r="A1072" s="2" t="str">
        <f>CLEAN("MARATHON")</f>
        <v>MARATHON</v>
      </c>
      <c r="B1072" s="2" t="str">
        <f>CLEAN("CITY OF MOSINEE")</f>
        <v>CITY OF MOSINEE</v>
      </c>
      <c r="C1072" s="2" t="s">
        <v>732</v>
      </c>
      <c r="D1072" s="2" t="str">
        <f>CLEAN("6370-01-76")</f>
        <v>6370-01-76</v>
      </c>
      <c r="E1072" s="3" t="str">
        <f>CLEAN("C MOSINEE  WESTERN AND 4TH")</f>
        <v>C MOSINEE  WESTERN AND 4TH</v>
      </c>
      <c r="F1072" s="3" t="str">
        <f>CLEAN("RANGELINE ROAD TO PINE STREET")</f>
        <v>RANGELINE ROAD TO PINE STREET</v>
      </c>
      <c r="G1072" s="3" t="str">
        <f>CLEAN("CONST/PVRPLA/LOCAL UTILITY")</f>
        <v>CONST/PVRPLA/LOCAL UTILITY</v>
      </c>
      <c r="H1072" s="2" t="str">
        <f>CLEAN("STH 153")</f>
        <v>STH 153</v>
      </c>
      <c r="I1072" s="2" t="str">
        <f t="shared" si="169"/>
        <v>303</v>
      </c>
    </row>
    <row r="1073" spans="1:9" x14ac:dyDescent="0.35">
      <c r="A1073" s="2" t="str">
        <f>CLEAN("MARATHON")</f>
        <v>MARATHON</v>
      </c>
      <c r="B1073" s="2" t="str">
        <f>CLEAN("CITY OF MOSINEE")</f>
        <v>CITY OF MOSINEE</v>
      </c>
      <c r="C1073" s="2" t="s">
        <v>711</v>
      </c>
      <c r="D1073" s="2" t="str">
        <f>CLEAN("6999-16-73")</f>
        <v>6999-16-73</v>
      </c>
      <c r="E1073" s="3" t="str">
        <f>CLEAN("C MOSINEE  MAIN STREET")</f>
        <v>C MOSINEE  MAIN STREET</v>
      </c>
      <c r="F1073" s="3" t="str">
        <f>CLEAN("4TH STREET TO RANGELINE ROAD")</f>
        <v>4TH STREET TO RANGELINE ROAD</v>
      </c>
      <c r="G1073" s="3" t="str">
        <f>CLEAN("CONST/PVRPLA")</f>
        <v>CONST/PVRPLA</v>
      </c>
      <c r="H1073" s="2" t="str">
        <f>CLEAN("LOC STR")</f>
        <v>LOC STR</v>
      </c>
      <c r="I1073" s="2" t="str">
        <f>CLEAN("206")</f>
        <v>206</v>
      </c>
    </row>
    <row r="1074" spans="1:9" x14ac:dyDescent="0.35">
      <c r="A1074" s="2" t="str">
        <f>CLEAN("WINNEBAGO")</f>
        <v>WINNEBAGO</v>
      </c>
      <c r="B1074" s="2" t="str">
        <f>CLEAN("CITY OF NEENAH")</f>
        <v>CITY OF NEENAH</v>
      </c>
      <c r="C1074" s="2" t="s">
        <v>285</v>
      </c>
      <c r="D1074" s="2" t="str">
        <f>CLEAN("4993-01-01")</f>
        <v>4993-01-01</v>
      </c>
      <c r="E1074" s="3" t="str">
        <f>CLEAN("C NEENAH  COMMERCIAL STREET")</f>
        <v>C NEENAH  COMMERCIAL STREET</v>
      </c>
      <c r="F1074" s="3" t="str">
        <f>CLEAN("STANLEY STREET TO TYLER STREET")</f>
        <v>STANLEY STREET TO TYLER STREET</v>
      </c>
      <c r="G1074" s="3" t="str">
        <f>CLEAN("CONST OPS/RECST")</f>
        <v>CONST OPS/RECST</v>
      </c>
      <c r="H1074" s="2" t="str">
        <f>CLEAN("LOC STR")</f>
        <v>LOC STR</v>
      </c>
      <c r="I1074" s="2" t="str">
        <f>CLEAN("206")</f>
        <v>206</v>
      </c>
    </row>
    <row r="1075" spans="1:9" x14ac:dyDescent="0.35">
      <c r="A1075" s="2" t="str">
        <f>CLEAN("WINNEBAGO")</f>
        <v>WINNEBAGO</v>
      </c>
      <c r="B1075" s="2" t="str">
        <f>CLEAN("CITY OF NEENAH")</f>
        <v>CITY OF NEENAH</v>
      </c>
      <c r="C1075" s="2" t="s">
        <v>2443</v>
      </c>
      <c r="D1075" s="2" t="str">
        <f>CLEAN("4993-01-00")</f>
        <v>4993-01-00</v>
      </c>
      <c r="E1075" s="3" t="str">
        <f>CLEAN("C NEENAH  COMMERCIAL STREET")</f>
        <v>C NEENAH  COMMERCIAL STREET</v>
      </c>
      <c r="F1075" s="3" t="str">
        <f>CLEAN("STANLEY STREET TO TYLER STREET")</f>
        <v>STANLEY STREET TO TYLER STREET</v>
      </c>
      <c r="G1075" s="3" t="str">
        <f>CLEAN("DSGN/RECST")</f>
        <v>DSGN/RECST</v>
      </c>
      <c r="H1075" s="2" t="str">
        <f>CLEAN("LOC STR")</f>
        <v>LOC STR</v>
      </c>
      <c r="I1075" s="2" t="str">
        <f>CLEAN("206")</f>
        <v>206</v>
      </c>
    </row>
    <row r="1076" spans="1:9" x14ac:dyDescent="0.35">
      <c r="A1076" s="2" t="str">
        <f>CLEAN("CLARK")</f>
        <v>CLARK</v>
      </c>
      <c r="B1076" s="2" t="str">
        <f>CLEAN("CITY OF NEILLSVILLE")</f>
        <v>CITY OF NEILLSVILLE</v>
      </c>
      <c r="C1076" s="2" t="s">
        <v>2273</v>
      </c>
      <c r="D1076" s="2" t="str">
        <f>CLEAN("7030-00-02")</f>
        <v>7030-00-02</v>
      </c>
      <c r="E1076" s="3" t="str">
        <f>CLEAN("NEILLSVILLE - MARSHFIELD")</f>
        <v>NEILLSVILLE - MARSHFIELD</v>
      </c>
      <c r="F1076" s="3" t="str">
        <f>CLEAN("STH 73 TO EAST COUNTY LINE")</f>
        <v>STH 73 TO EAST COUNTY LINE</v>
      </c>
      <c r="G1076" s="3" t="str">
        <f>CLEAN("DESIGN/RESURFACE")</f>
        <v>DESIGN/RESURFACE</v>
      </c>
      <c r="H1076" s="2" t="str">
        <f>CLEAN("USH 010")</f>
        <v>USH 010</v>
      </c>
      <c r="I1076" s="2" t="str">
        <f>CLEAN("303")</f>
        <v>303</v>
      </c>
    </row>
    <row r="1077" spans="1:9" x14ac:dyDescent="0.35">
      <c r="A1077" s="2" t="str">
        <f>CLEAN("WAUKESHA")</f>
        <v>WAUKESHA</v>
      </c>
      <c r="B1077" s="2" t="str">
        <f>CLEAN("CITY OF NEW BERLIN")</f>
        <v>CITY OF NEW BERLIN</v>
      </c>
      <c r="C1077" s="2" t="s">
        <v>2776</v>
      </c>
      <c r="D1077" s="2" t="str">
        <f>CLEAN("2230-15-02")</f>
        <v>2230-15-02</v>
      </c>
      <c r="E1077" s="3" t="str">
        <f>CLEAN("C NEW BERLIN/BRKFLD  GREENFIELD AVE")</f>
        <v>C NEW BERLIN/BRKFLD  GREENFIELD AVE</v>
      </c>
      <c r="F1077" s="3" t="str">
        <f>CLEAN("S BROOKFIELD RD TO 124TH ST")</f>
        <v>S BROOKFIELD RD TO 124TH ST</v>
      </c>
      <c r="G1077" s="3" t="str">
        <f>CLEAN("PE/FULL PS&amp;E/RSRF25")</f>
        <v>PE/FULL PS&amp;E/RSRF25</v>
      </c>
      <c r="H1077" s="2" t="str">
        <f>CLEAN("STH 059")</f>
        <v>STH 059</v>
      </c>
      <c r="I1077" s="2" t="str">
        <f>CLEAN("303")</f>
        <v>303</v>
      </c>
    </row>
    <row r="1078" spans="1:9" x14ac:dyDescent="0.35">
      <c r="A1078" s="2" t="str">
        <f>CLEAN("WAUKESHA")</f>
        <v>WAUKESHA</v>
      </c>
      <c r="B1078" s="2" t="str">
        <f>CLEAN("CITY OF NEW BERLIN")</f>
        <v>CITY OF NEW BERLIN</v>
      </c>
      <c r="C1078" s="2" t="s">
        <v>749</v>
      </c>
      <c r="D1078" s="2" t="str">
        <f>CLEAN("2722-09-70")</f>
        <v>2722-09-70</v>
      </c>
      <c r="E1078" s="3" t="str">
        <f>CLEAN("C NEW BERLIN S CALHOUN ROAD")</f>
        <v>C NEW BERLIN S CALHOUN ROAD</v>
      </c>
      <c r="F1078" s="3" t="str">
        <f>CLEAN("INTERSECTION WITH SMALL ROAD")</f>
        <v>INTERSECTION WITH SMALL ROAD</v>
      </c>
      <c r="G1078" s="3" t="str">
        <f>CLEAN("CONST/RECONST")</f>
        <v>CONST/RECONST</v>
      </c>
      <c r="H1078" s="2" t="str">
        <f>CLEAN("LOC STR")</f>
        <v>LOC STR</v>
      </c>
      <c r="I1078" s="2" t="str">
        <f>CLEAN("206")</f>
        <v>206</v>
      </c>
    </row>
    <row r="1079" spans="1:9" x14ac:dyDescent="0.35">
      <c r="A1079" s="2" t="str">
        <f>CLEAN("JUNEAU")</f>
        <v>JUNEAU</v>
      </c>
      <c r="B1079" s="2" t="str">
        <f>CLEAN("CITY OF NEW LISBON")</f>
        <v>CITY OF NEW LISBON</v>
      </c>
      <c r="C1079" s="2" t="s">
        <v>1512</v>
      </c>
      <c r="D1079" s="2" t="str">
        <f>CLEAN("5829-00-02")</f>
        <v>5829-00-02</v>
      </c>
      <c r="E1079" s="3" t="str">
        <f>CLEAN("C NEW LISBON  W BRIDGE STREET")</f>
        <v>C NEW LISBON  W BRIDGE STREET</v>
      </c>
      <c r="F1079" s="3" t="str">
        <f>CLEAN("LEER STREET TO RIVER STREET")</f>
        <v>LEER STREET TO RIVER STREET</v>
      </c>
      <c r="G1079" s="3" t="str">
        <f>CLEAN("DESIGN - FULL PS&amp;E PVRPLA")</f>
        <v>DESIGN - FULL PS&amp;E PVRPLA</v>
      </c>
      <c r="H1079" s="2" t="str">
        <f>CLEAN("LOC STR")</f>
        <v>LOC STR</v>
      </c>
      <c r="I1079" s="2" t="str">
        <f>CLEAN("206")</f>
        <v>206</v>
      </c>
    </row>
    <row r="1080" spans="1:9" x14ac:dyDescent="0.35">
      <c r="A1080" s="2" t="str">
        <f>CLEAN("JUNEAU")</f>
        <v>JUNEAU</v>
      </c>
      <c r="B1080" s="2" t="str">
        <f>CLEAN("CITY OF NEW LISBON")</f>
        <v>CITY OF NEW LISBON</v>
      </c>
      <c r="C1080" s="2" t="s">
        <v>215</v>
      </c>
      <c r="D1080" s="2" t="str">
        <f>CLEAN("5829-00-72")</f>
        <v>5829-00-72</v>
      </c>
      <c r="E1080" s="3" t="str">
        <f>CLEAN("C NEW LISBON  W BRIDGE STREET")</f>
        <v>C NEW LISBON  W BRIDGE STREET</v>
      </c>
      <c r="F1080" s="3" t="str">
        <f>CLEAN("LEER STREET TO RIVER STREET")</f>
        <v>LEER STREET TO RIVER STREET</v>
      </c>
      <c r="G1080" s="3" t="str">
        <f>CLEAN("CONST OPS/PVRPLA")</f>
        <v>CONST OPS/PVRPLA</v>
      </c>
      <c r="H1080" s="2" t="str">
        <f>CLEAN("LOC STR")</f>
        <v>LOC STR</v>
      </c>
      <c r="I1080" s="2" t="str">
        <f>CLEAN("206")</f>
        <v>206</v>
      </c>
    </row>
    <row r="1081" spans="1:9" x14ac:dyDescent="0.35">
      <c r="A1081" s="2" t="str">
        <f>CLEAN("OUTAGAMIE")</f>
        <v>OUTAGAMIE</v>
      </c>
      <c r="B1081" s="2" t="str">
        <f>CLEAN("CITY OF NEW LONDON")</f>
        <v>CITY OF NEW LONDON</v>
      </c>
      <c r="C1081" s="2" t="s">
        <v>671</v>
      </c>
      <c r="D1081" s="2" t="str">
        <f>CLEAN("6220-04-76")</f>
        <v>6220-04-76</v>
      </c>
      <c r="E1081" s="3" t="str">
        <f>CLEAN("NEW LONDON - BLACK CREEK")</f>
        <v>NEW LONDON - BLACK CREEK</v>
      </c>
      <c r="F1081" s="3" t="str">
        <f>CLEAN("W JEANNE STREET TO CTH S")</f>
        <v>W JEANNE STREET TO CTH S</v>
      </c>
      <c r="G1081" s="3" t="str">
        <f>CLEAN("CONST/PAVEMENT REPLACEMENT")</f>
        <v>CONST/PAVEMENT REPLACEMENT</v>
      </c>
      <c r="H1081" s="2" t="str">
        <f>CLEAN("STH 054")</f>
        <v>STH 054</v>
      </c>
      <c r="I1081" s="2" t="str">
        <f>CLEAN("303")</f>
        <v>303</v>
      </c>
    </row>
    <row r="1082" spans="1:9" x14ac:dyDescent="0.35">
      <c r="A1082" s="2" t="str">
        <f>CLEAN("OUTAGAMIE")</f>
        <v>OUTAGAMIE</v>
      </c>
      <c r="B1082" s="2" t="str">
        <f>CLEAN("CITY OF NEW LONDON")</f>
        <v>CITY OF NEW LONDON</v>
      </c>
      <c r="C1082" s="2" t="s">
        <v>2489</v>
      </c>
      <c r="D1082" s="2" t="str">
        <f>CLEAN("6513-03-00")</f>
        <v>6513-03-00</v>
      </c>
      <c r="E1082" s="3" t="str">
        <f>CLEAN("C NEW LONDON  HOUSE RD")</f>
        <v>C NEW LONDON  HOUSE RD</v>
      </c>
      <c r="F1082" s="3" t="str">
        <f>CLEAN("CTH S - STH 54")</f>
        <v>CTH S - STH 54</v>
      </c>
      <c r="G1082" s="3" t="str">
        <f>CLEAN("DSN/FULL PSE/RSRF25")</f>
        <v>DSN/FULL PSE/RSRF25</v>
      </c>
      <c r="H1082" s="2" t="str">
        <f>CLEAN("LOC STR")</f>
        <v>LOC STR</v>
      </c>
      <c r="I1082" s="2" t="str">
        <f>CLEAN("206")</f>
        <v>206</v>
      </c>
    </row>
    <row r="1083" spans="1:9" x14ac:dyDescent="0.35">
      <c r="A1083" s="2" t="str">
        <f>CLEAN("OUTAGAMIE")</f>
        <v>OUTAGAMIE</v>
      </c>
      <c r="B1083" s="2" t="str">
        <f>CLEAN("CITY OF NEW LONDON")</f>
        <v>CITY OF NEW LONDON</v>
      </c>
      <c r="C1083" s="2" t="s">
        <v>306</v>
      </c>
      <c r="D1083" s="2" t="str">
        <f>CLEAN("6513-03-71")</f>
        <v>6513-03-71</v>
      </c>
      <c r="E1083" s="3" t="str">
        <f>CLEAN("C NEW LONDON  HOUSE RD")</f>
        <v>C NEW LONDON  HOUSE RD</v>
      </c>
      <c r="F1083" s="3" t="str">
        <f>CLEAN("CTH S - STH 54")</f>
        <v>CTH S - STH 54</v>
      </c>
      <c r="G1083" s="3" t="str">
        <f>CLEAN("CONST OPS/RSRF25")</f>
        <v>CONST OPS/RSRF25</v>
      </c>
      <c r="H1083" s="2" t="str">
        <f>CLEAN("LOC STR")</f>
        <v>LOC STR</v>
      </c>
      <c r="I1083" s="2" t="str">
        <f>CLEAN("206")</f>
        <v>206</v>
      </c>
    </row>
    <row r="1084" spans="1:9" x14ac:dyDescent="0.35">
      <c r="A1084" s="2" t="str">
        <f>CLEAN("WAUPACA")</f>
        <v>WAUPACA</v>
      </c>
      <c r="B1084" s="2" t="str">
        <f>CLEAN("CITY OF NEW LONDON")</f>
        <v>CITY OF NEW LONDON</v>
      </c>
      <c r="C1084" s="2" t="s">
        <v>776</v>
      </c>
      <c r="D1084" s="2" t="str">
        <f>CLEAN("6996-04-72")</f>
        <v>6996-04-72</v>
      </c>
      <c r="E1084" s="3" t="str">
        <f>CLEAN("C NEW LONDON  N WATER STREET")</f>
        <v>C NEW LONDON  N WATER STREET</v>
      </c>
      <c r="F1084" s="3" t="str">
        <f>CLEAN("SHAWANO STREET TO N PEARL STREET")</f>
        <v>SHAWANO STREET TO N PEARL STREET</v>
      </c>
      <c r="G1084" s="3" t="str">
        <f>CLEAN("CONST/RECONSTRUCT")</f>
        <v>CONST/RECONSTRUCT</v>
      </c>
      <c r="H1084" s="2" t="str">
        <f>CLEAN("CTH D")</f>
        <v>CTH D</v>
      </c>
      <c r="I1084" s="2" t="str">
        <f>CLEAN("206")</f>
        <v>206</v>
      </c>
    </row>
    <row r="1085" spans="1:9" x14ac:dyDescent="0.35">
      <c r="A1085" s="2" t="str">
        <f>CLEAN("ST. CROIX")</f>
        <v>ST. CROIX</v>
      </c>
      <c r="B1085" s="2" t="str">
        <f>CLEAN("CITY OF NEW RICHMOND")</f>
        <v>CITY OF NEW RICHMOND</v>
      </c>
      <c r="C1085" s="2" t="s">
        <v>1736</v>
      </c>
      <c r="D1085" s="2" t="str">
        <f>CLEAN("8941-05-02")</f>
        <v>8941-05-02</v>
      </c>
      <c r="E1085" s="3" t="str">
        <f>CLEAN("C NEW RICHMOND  OFF RD TRAIL")</f>
        <v>C NEW RICHMOND  OFF RD TRAIL</v>
      </c>
      <c r="F1085" s="3" t="str">
        <f>CLEAN("PARK AVENUE TO PRAIRIE ROAD")</f>
        <v>PARK AVENUE TO PRAIRIE ROAD</v>
      </c>
      <c r="G1085" s="3" t="str">
        <f>CLEAN("DESIGN/BIKE &amp; PED TRAIL TAP PROGRAM")</f>
        <v>DESIGN/BIKE &amp; PED TRAIL TAP PROGRAM</v>
      </c>
      <c r="H1085" s="2" t="str">
        <f>CLEAN("NON HWY")</f>
        <v>NON HWY</v>
      </c>
      <c r="I1085" s="2" t="str">
        <f>CLEAN("290")</f>
        <v>290</v>
      </c>
    </row>
    <row r="1086" spans="1:9" x14ac:dyDescent="0.35">
      <c r="A1086" s="2" t="str">
        <f>CLEAN("ST. CROIX")</f>
        <v>ST. CROIX</v>
      </c>
      <c r="B1086" s="2" t="str">
        <f>CLEAN("CITY OF NEW RICHMOND")</f>
        <v>CITY OF NEW RICHMOND</v>
      </c>
      <c r="C1086" s="2" t="s">
        <v>2038</v>
      </c>
      <c r="D1086" s="2" t="str">
        <f>CLEAN("8940-00-16")</f>
        <v>8940-00-16</v>
      </c>
      <c r="E1086" s="3" t="str">
        <f>CLEAN("C NEW RICHMOND  CTH A BIKE TRAIL")</f>
        <v>C NEW RICHMOND  CTH A BIKE TRAIL</v>
      </c>
      <c r="F1086" s="3" t="str">
        <f>CLEAN("W RICHMOND WAY TO W 4TH STREET")</f>
        <v>W RICHMOND WAY TO W 4TH STREET</v>
      </c>
      <c r="G1086" s="3" t="str">
        <f>CLEAN("DESIGN/PAVED BIKE PED TRAIL/TAP")</f>
        <v>DESIGN/PAVED BIKE PED TRAIL/TAP</v>
      </c>
      <c r="H1086" s="2" t="str">
        <f>CLEAN("NON HWY")</f>
        <v>NON HWY</v>
      </c>
      <c r="I1086" s="2" t="str">
        <f>CLEAN("290")</f>
        <v>290</v>
      </c>
    </row>
    <row r="1087" spans="1:9" x14ac:dyDescent="0.35">
      <c r="A1087" s="2" t="str">
        <f>CLEAN("ST. CROIX")</f>
        <v>ST. CROIX</v>
      </c>
      <c r="B1087" s="2" t="str">
        <f>CLEAN("CITY OF NEW RICHMOND")</f>
        <v>CITY OF NEW RICHMOND</v>
      </c>
      <c r="C1087" s="2" t="s">
        <v>1661</v>
      </c>
      <c r="D1087" s="2" t="str">
        <f>CLEAN("8940-00-24")</f>
        <v>8940-00-24</v>
      </c>
      <c r="E1087" s="3" t="str">
        <f>CLEAN("C NEW RICHMOND  E 1ST ST")</f>
        <v>C NEW RICHMOND  E 1ST ST</v>
      </c>
      <c r="F1087" s="3" t="str">
        <f>CLEAN("S KNOWLES AVE TO GREATON RD")</f>
        <v>S KNOWLES AVE TO GREATON RD</v>
      </c>
      <c r="G1087" s="3" t="str">
        <f>CLEAN("DESIGN - FULL PS&amp;E/RECST")</f>
        <v>DESIGN - FULL PS&amp;E/RECST</v>
      </c>
      <c r="H1087" s="2" t="str">
        <f>CLEAN("LOC STR")</f>
        <v>LOC STR</v>
      </c>
      <c r="I1087" s="2" t="str">
        <f>CLEAN("206")</f>
        <v>206</v>
      </c>
    </row>
    <row r="1088" spans="1:9" x14ac:dyDescent="0.35">
      <c r="A1088" s="2" t="str">
        <f>CLEAN("MARINETTE")</f>
        <v>MARINETTE</v>
      </c>
      <c r="B1088" s="2" t="str">
        <f>CLEAN("CITY OF NIAGARA")</f>
        <v>CITY OF NIAGARA</v>
      </c>
      <c r="C1088" s="2" t="s">
        <v>2413</v>
      </c>
      <c r="D1088" s="2" t="str">
        <f>CLEAN("9245-00-00")</f>
        <v>9245-00-00</v>
      </c>
      <c r="E1088" s="3" t="str">
        <f>CLEAN("C NIAGARA  HILL ST  FOREST ST")</f>
        <v>C NIAGARA  HILL ST  FOREST ST</v>
      </c>
      <c r="F1088" s="3" t="str">
        <f>CLEAN("MAIN STREET TO BROOK STREET")</f>
        <v>MAIN STREET TO BROOK STREET</v>
      </c>
      <c r="G1088" s="3" t="str">
        <f>CLEAN("DSGN/FULL PSE/RECST")</f>
        <v>DSGN/FULL PSE/RECST</v>
      </c>
      <c r="H1088" s="2" t="str">
        <f>CLEAN("LOC STR")</f>
        <v>LOC STR</v>
      </c>
      <c r="I1088" s="2" t="str">
        <f>CLEAN("206")</f>
        <v>206</v>
      </c>
    </row>
    <row r="1089" spans="1:9" x14ac:dyDescent="0.35">
      <c r="A1089" s="2" t="str">
        <f>CLEAN("MARINETTE")</f>
        <v>MARINETTE</v>
      </c>
      <c r="B1089" s="2" t="str">
        <f>CLEAN("CITY OF NIAGARA")</f>
        <v>CITY OF NIAGARA</v>
      </c>
      <c r="C1089" s="2" t="s">
        <v>2421</v>
      </c>
      <c r="D1089" s="2" t="str">
        <f>CLEAN("9560-08-00")</f>
        <v>9560-08-00</v>
      </c>
      <c r="E1089" s="3" t="str">
        <f>CLEAN("C NIAGARA  ROOSEVELT ROAD")</f>
        <v>C NIAGARA  ROOSEVELT ROAD</v>
      </c>
      <c r="F1089" s="3" t="str">
        <f>CLEAN("4TH STREET - NORTH STATE LINE")</f>
        <v>4TH STREET - NORTH STATE LINE</v>
      </c>
      <c r="G1089" s="3" t="str">
        <f>CLEAN("DSGN/FULL PSE/RSRF20")</f>
        <v>DSGN/FULL PSE/RSRF20</v>
      </c>
      <c r="H1089" s="2" t="str">
        <f>CLEAN("USH 141")</f>
        <v>USH 141</v>
      </c>
      <c r="I1089" s="2" t="str">
        <f>CLEAN("303")</f>
        <v>303</v>
      </c>
    </row>
    <row r="1090" spans="1:9" x14ac:dyDescent="0.35">
      <c r="A1090" s="2" t="str">
        <f t="shared" ref="A1090:A1101" si="170">CLEAN("MILWAUKEE")</f>
        <v>MILWAUKEE</v>
      </c>
      <c r="B1090" s="2" t="str">
        <f t="shared" ref="B1090:B1101" si="171">CLEAN("CITY OF OAK CREEK")</f>
        <v>CITY OF OAK CREEK</v>
      </c>
      <c r="C1090" s="2" t="s">
        <v>3159</v>
      </c>
      <c r="D1090" s="2" t="str">
        <f>CLEAN("2265-09-24")</f>
        <v>2265-09-24</v>
      </c>
      <c r="E1090" s="3" t="str">
        <f>CLEAN("OAK CREEK - MILWAUKEE")</f>
        <v>OAK CREEK - MILWAUKEE</v>
      </c>
      <c r="F1090" s="3" t="str">
        <f>CLEAN("W ELM ROAD TO W VILLA DRIVE")</f>
        <v>W ELM ROAD TO W VILLA DRIVE</v>
      </c>
      <c r="G1090" s="3" t="str">
        <f>CLEAN("RE/RSRF30")</f>
        <v>RE/RSRF30</v>
      </c>
      <c r="H1090" s="2" t="str">
        <f>CLEAN("STH 241")</f>
        <v>STH 241</v>
      </c>
      <c r="I1090" s="2" t="str">
        <f>CLEAN("303")</f>
        <v>303</v>
      </c>
    </row>
    <row r="1091" spans="1:9" x14ac:dyDescent="0.35">
      <c r="A1091" s="2" t="str">
        <f t="shared" si="170"/>
        <v>MILWAUKEE</v>
      </c>
      <c r="B1091" s="2" t="str">
        <f t="shared" si="171"/>
        <v>CITY OF OAK CREEK</v>
      </c>
      <c r="C1091" s="2" t="s">
        <v>2609</v>
      </c>
      <c r="D1091" s="2" t="str">
        <f>CLEAN("2987-03-05")</f>
        <v>2987-03-05</v>
      </c>
      <c r="E1091" s="3" t="str">
        <f>CLEAN("C OAK CREEK LIGHTING UPGRADE")</f>
        <v>C OAK CREEK LIGHTING UPGRADE</v>
      </c>
      <c r="F1091" s="3" t="str">
        <f>CLEAN("VARIOUS LOCATIONS PER APPLICATION")</f>
        <v>VARIOUS LOCATIONS PER APPLICATION</v>
      </c>
      <c r="G1091" s="3" t="str">
        <f>CLEAN("PE STATE REVIEW ONLY")</f>
        <v>PE STATE REVIEW ONLY</v>
      </c>
      <c r="H1091" s="2" t="str">
        <f>CLEAN("NON HWY")</f>
        <v>NON HWY</v>
      </c>
      <c r="I1091" s="2" t="str">
        <f>CLEAN("206")</f>
        <v>206</v>
      </c>
    </row>
    <row r="1092" spans="1:9" x14ac:dyDescent="0.35">
      <c r="A1092" s="2" t="str">
        <f t="shared" si="170"/>
        <v>MILWAUKEE</v>
      </c>
      <c r="B1092" s="2" t="str">
        <f t="shared" si="171"/>
        <v>CITY OF OAK CREEK</v>
      </c>
      <c r="C1092" s="2" t="s">
        <v>2788</v>
      </c>
      <c r="D1092" s="2" t="str">
        <f>CLEAN("2987-07-01")</f>
        <v>2987-07-01</v>
      </c>
      <c r="E1092" s="3" t="str">
        <f>CLEAN("C OAK CREEK  6TH ST")</f>
        <v>C OAK CREEK  6TH ST</v>
      </c>
      <c r="F1092" s="3" t="str">
        <f>CLEAN("OAK CREEK BRIDGE P40-0556")</f>
        <v>OAK CREEK BRIDGE P40-0556</v>
      </c>
      <c r="G1092" s="3" t="str">
        <f>CLEAN("PE/FULL PS/BRRHB")</f>
        <v>PE/FULL PS/BRRHB</v>
      </c>
      <c r="H1092" s="2" t="str">
        <f>CLEAN("LOC STR")</f>
        <v>LOC STR</v>
      </c>
      <c r="I1092" s="2" t="str">
        <f>CLEAN("205")</f>
        <v>205</v>
      </c>
    </row>
    <row r="1093" spans="1:9" x14ac:dyDescent="0.35">
      <c r="A1093" s="2" t="str">
        <f t="shared" si="170"/>
        <v>MILWAUKEE</v>
      </c>
      <c r="B1093" s="2" t="str">
        <f t="shared" si="171"/>
        <v>CITY OF OAK CREEK</v>
      </c>
      <c r="C1093" s="2" t="s">
        <v>1151</v>
      </c>
      <c r="D1093" s="2" t="str">
        <f>CLEAN("2040-22-10")</f>
        <v>2040-22-10</v>
      </c>
      <c r="E1093" s="3" t="str">
        <f>CLEAN("STH 100")</f>
        <v>STH 100</v>
      </c>
      <c r="F1093" s="3" t="str">
        <f>CLEAN("IH 41/94 TO 1600' E OF 13TH ST")</f>
        <v>IH 41/94 TO 1600' E OF 13TH ST</v>
      </c>
      <c r="G1093" s="3" t="str">
        <f>CLEAN("CONSTRUCTION OVERSIGHT")</f>
        <v>CONSTRUCTION OVERSIGHT</v>
      </c>
      <c r="H1093" s="2" t="str">
        <f>CLEAN("STH 100")</f>
        <v>STH 100</v>
      </c>
      <c r="I1093" s="2" t="str">
        <f>CLEAN("303")</f>
        <v>303</v>
      </c>
    </row>
    <row r="1094" spans="1:9" x14ac:dyDescent="0.35">
      <c r="A1094" s="2" t="str">
        <f t="shared" si="170"/>
        <v>MILWAUKEE</v>
      </c>
      <c r="B1094" s="2" t="str">
        <f t="shared" si="171"/>
        <v>CITY OF OAK CREEK</v>
      </c>
      <c r="C1094" s="2" t="s">
        <v>981</v>
      </c>
      <c r="D1094" s="2" t="str">
        <f>CLEAN("2060-20-70")</f>
        <v>2060-20-70</v>
      </c>
      <c r="E1094" s="3" t="str">
        <f>CLEAN("RACINE - MILWAUKEE")</f>
        <v>RACINE - MILWAUKEE</v>
      </c>
      <c r="F1094" s="3" t="str">
        <f>CLEAN("OAKWOOD RD TO GRANGE AVE")</f>
        <v>OAKWOOD RD TO GRANGE AVE</v>
      </c>
      <c r="G1094" s="3" t="str">
        <f>CLEAN("CONST/RESURFACE")</f>
        <v>CONST/RESURFACE</v>
      </c>
      <c r="H1094" s="2" t="str">
        <f>CLEAN("STH 038")</f>
        <v>STH 038</v>
      </c>
      <c r="I1094" s="2" t="str">
        <f>CLEAN("303")</f>
        <v>303</v>
      </c>
    </row>
    <row r="1095" spans="1:9" x14ac:dyDescent="0.35">
      <c r="A1095" s="2" t="str">
        <f t="shared" si="170"/>
        <v>MILWAUKEE</v>
      </c>
      <c r="B1095" s="2" t="str">
        <f t="shared" si="171"/>
        <v>CITY OF OAK CREEK</v>
      </c>
      <c r="C1095" s="2" t="s">
        <v>2831</v>
      </c>
      <c r="D1095" s="2" t="str">
        <f>CLEAN("2235-00-04")</f>
        <v>2235-00-04</v>
      </c>
      <c r="E1095" s="3" t="str">
        <f>CLEAN("C OAK CREEK  S 6TH STREET")</f>
        <v>C OAK CREEK  S 6TH STREET</v>
      </c>
      <c r="F1095" s="3" t="str">
        <f>CLEAN("BRIDGE OVER BR OAK CREEK P-40-0558")</f>
        <v>BRIDGE OVER BR OAK CREEK P-40-0558</v>
      </c>
      <c r="G1095" s="3" t="str">
        <f>CLEAN("PE/FULL PSE/BRIDGE REPLACEMENT")</f>
        <v>PE/FULL PSE/BRIDGE REPLACEMENT</v>
      </c>
      <c r="H1095" s="2" t="str">
        <f>CLEAN("LOC STR")</f>
        <v>LOC STR</v>
      </c>
      <c r="I1095" s="2" t="str">
        <f>CLEAN("205")</f>
        <v>205</v>
      </c>
    </row>
    <row r="1096" spans="1:9" x14ac:dyDescent="0.35">
      <c r="A1096" s="2" t="str">
        <f t="shared" si="170"/>
        <v>MILWAUKEE</v>
      </c>
      <c r="B1096" s="2" t="str">
        <f t="shared" si="171"/>
        <v>CITY OF OAK CREEK</v>
      </c>
      <c r="C1096" s="2" t="s">
        <v>413</v>
      </c>
      <c r="D1096" s="2" t="str">
        <f>CLEAN("2235-00-74")</f>
        <v>2235-00-74</v>
      </c>
      <c r="E1096" s="3" t="str">
        <f>CLEAN("C OAK CREEK  S 6TH STREET")</f>
        <v>C OAK CREEK  S 6TH STREET</v>
      </c>
      <c r="F1096" s="3" t="str">
        <f>CLEAN("BRIDGE OVER BR OAK CREEK P-40-0558")</f>
        <v>BRIDGE OVER BR OAK CREEK P-40-0558</v>
      </c>
      <c r="G1096" s="3" t="str">
        <f>CLEAN("CONST/BRIDGE REPLACEMENT")</f>
        <v>CONST/BRIDGE REPLACEMENT</v>
      </c>
      <c r="H1096" s="2" t="str">
        <f>CLEAN("LOC STR")</f>
        <v>LOC STR</v>
      </c>
      <c r="I1096" s="2" t="str">
        <f>CLEAN("205")</f>
        <v>205</v>
      </c>
    </row>
    <row r="1097" spans="1:9" x14ac:dyDescent="0.35">
      <c r="A1097" s="2" t="str">
        <f t="shared" si="170"/>
        <v>MILWAUKEE</v>
      </c>
      <c r="B1097" s="2" t="str">
        <f t="shared" si="171"/>
        <v>CITY OF OAK CREEK</v>
      </c>
      <c r="C1097" s="2" t="s">
        <v>960</v>
      </c>
      <c r="D1097" s="2" t="str">
        <f>CLEAN("2345-07-71")</f>
        <v>2345-07-71</v>
      </c>
      <c r="E1097" s="3" t="str">
        <f>CLEAN("W DREXEL AVENUE")</f>
        <v>W DREXEL AVENUE</v>
      </c>
      <c r="F1097" s="3" t="str">
        <f>CLEAN("CTH V TO STH 38")</f>
        <v>CTH V TO STH 38</v>
      </c>
      <c r="G1097" s="3" t="str">
        <f>CLEAN("CONST/RESURFACE")</f>
        <v>CONST/RESURFACE</v>
      </c>
      <c r="H1097" s="2" t="str">
        <f>CLEAN("LOC STR")</f>
        <v>LOC STR</v>
      </c>
      <c r="I1097" s="2" t="str">
        <f>CLEAN("206")</f>
        <v>206</v>
      </c>
    </row>
    <row r="1098" spans="1:9" x14ac:dyDescent="0.35">
      <c r="A1098" s="2" t="str">
        <f t="shared" si="170"/>
        <v>MILWAUKEE</v>
      </c>
      <c r="B1098" s="2" t="str">
        <f t="shared" si="171"/>
        <v>CITY OF OAK CREEK</v>
      </c>
      <c r="C1098" s="2" t="s">
        <v>2666</v>
      </c>
      <c r="D1098" s="2" t="str">
        <f>CLEAN("2987-00-14")</f>
        <v>2987-00-14</v>
      </c>
      <c r="E1098" s="3" t="str">
        <f>CLEAN("5TH AVENUE RELOCATION")</f>
        <v>5TH AVENUE RELOCATION</v>
      </c>
      <c r="F1098" s="3" t="str">
        <f>CLEAN("STH 32 TO RYAN ROAD")</f>
        <v>STH 32 TO RYAN ROAD</v>
      </c>
      <c r="G1098" s="3" t="str">
        <f>CLEAN("PE/DESIGN REVIEW ONLY")</f>
        <v>PE/DESIGN REVIEW ONLY</v>
      </c>
      <c r="H1098" s="2" t="str">
        <f>CLEAN("LOC STR")</f>
        <v>LOC STR</v>
      </c>
      <c r="I1098" s="2" t="str">
        <f>CLEAN("206")</f>
        <v>206</v>
      </c>
    </row>
    <row r="1099" spans="1:9" x14ac:dyDescent="0.35">
      <c r="A1099" s="2" t="str">
        <f t="shared" si="170"/>
        <v>MILWAUKEE</v>
      </c>
      <c r="B1099" s="2" t="str">
        <f t="shared" si="171"/>
        <v>CITY OF OAK CREEK</v>
      </c>
      <c r="C1099" s="2" t="s">
        <v>701</v>
      </c>
      <c r="D1099" s="2" t="str">
        <f>CLEAN("2987-03-85")</f>
        <v>2987-03-85</v>
      </c>
      <c r="E1099" s="3" t="str">
        <f>CLEAN("C OAK CREEK LIGHTING UPGRADE")</f>
        <v>C OAK CREEK LIGHTING UPGRADE</v>
      </c>
      <c r="F1099" s="3" t="str">
        <f>CLEAN("VARIOUS LOCATIONS PER APPLICATION")</f>
        <v>VARIOUS LOCATIONS PER APPLICATION</v>
      </c>
      <c r="G1099" s="3" t="str">
        <f>CLEAN("CONST/PROCUREMENT")</f>
        <v>CONST/PROCUREMENT</v>
      </c>
      <c r="H1099" s="2" t="str">
        <f>CLEAN("NON HWY")</f>
        <v>NON HWY</v>
      </c>
      <c r="I1099" s="2" t="str">
        <f>CLEAN("206")</f>
        <v>206</v>
      </c>
    </row>
    <row r="1100" spans="1:9" x14ac:dyDescent="0.35">
      <c r="A1100" s="2" t="str">
        <f t="shared" si="170"/>
        <v>MILWAUKEE</v>
      </c>
      <c r="B1100" s="2" t="str">
        <f t="shared" si="171"/>
        <v>CITY OF OAK CREEK</v>
      </c>
      <c r="C1100" s="2" t="s">
        <v>489</v>
      </c>
      <c r="D1100" s="2" t="str">
        <f>CLEAN("2987-07-71")</f>
        <v>2987-07-71</v>
      </c>
      <c r="E1100" s="3" t="str">
        <f>CLEAN("C OAK CREEK  6TH ST")</f>
        <v>C OAK CREEK  6TH ST</v>
      </c>
      <c r="F1100" s="3" t="str">
        <f>CLEAN("OAK CREEK BRIDGE P40-0556")</f>
        <v>OAK CREEK BRIDGE P40-0556</v>
      </c>
      <c r="G1100" s="3" t="str">
        <f>CLEAN("CONST/BRRHB")</f>
        <v>CONST/BRRHB</v>
      </c>
      <c r="H1100" s="2" t="str">
        <f>CLEAN("LOC STR")</f>
        <v>LOC STR</v>
      </c>
      <c r="I1100" s="2" t="str">
        <f>CLEAN("205")</f>
        <v>205</v>
      </c>
    </row>
    <row r="1101" spans="1:9" x14ac:dyDescent="0.35">
      <c r="A1101" s="2" t="str">
        <f t="shared" si="170"/>
        <v>MILWAUKEE</v>
      </c>
      <c r="B1101" s="2" t="str">
        <f t="shared" si="171"/>
        <v>CITY OF OAK CREEK</v>
      </c>
      <c r="C1101" s="2" t="s">
        <v>1040</v>
      </c>
      <c r="D1101" s="2" t="str">
        <f>CLEAN("2987-09-70")</f>
        <v>2987-09-70</v>
      </c>
      <c r="E1101" s="3" t="str">
        <f>CLEAN("SAFE ROUTES TO SCHOOL-PHASE 1")</f>
        <v>SAFE ROUTES TO SCHOOL-PHASE 1</v>
      </c>
      <c r="F1101" s="3" t="str">
        <f>CLEAN("5 SCHOOL LOCATIONS")</f>
        <v>5 SCHOOL LOCATIONS</v>
      </c>
      <c r="G1101" s="3" t="str">
        <f>CLEAN("CONST/SIDEWALK SIGNS BIKE/PED")</f>
        <v>CONST/SIDEWALK SIGNS BIKE/PED</v>
      </c>
      <c r="H1101" s="2" t="str">
        <f>CLEAN("NON HWY")</f>
        <v>NON HWY</v>
      </c>
      <c r="I1101" s="2" t="str">
        <f>CLEAN("290")</f>
        <v>290</v>
      </c>
    </row>
    <row r="1102" spans="1:9" x14ac:dyDescent="0.35">
      <c r="A1102" s="2" t="str">
        <f>CLEAN("WAUKESHA")</f>
        <v>WAUKESHA</v>
      </c>
      <c r="B1102" s="2" t="str">
        <f>CLEAN("CITY OF OCONOMOWOC")</f>
        <v>CITY OF OCONOMOWOC</v>
      </c>
      <c r="C1102" s="2" t="s">
        <v>2835</v>
      </c>
      <c r="D1102" s="2" t="str">
        <f>CLEAN("3852-06-00")</f>
        <v>3852-06-00</v>
      </c>
      <c r="E1102" s="3" t="str">
        <f>CLEAN("C OCONOMOWOC  N LAPHAM ST")</f>
        <v>C OCONOMOWOC  N LAPHAM ST</v>
      </c>
      <c r="F1102" s="3" t="str">
        <f>CLEAN("OCONOMOWOC RIVER BRIDGE P67-770")</f>
        <v>OCONOMOWOC RIVER BRIDGE P67-770</v>
      </c>
      <c r="G1102" s="3" t="str">
        <f>CLEAN("PE/FULL PSE/BRIDGE REPLACEMENT")</f>
        <v>PE/FULL PSE/BRIDGE REPLACEMENT</v>
      </c>
      <c r="H1102" s="2" t="str">
        <f>CLEAN("LOC STR")</f>
        <v>LOC STR</v>
      </c>
      <c r="I1102" s="2" t="str">
        <f>CLEAN("205")</f>
        <v>205</v>
      </c>
    </row>
    <row r="1103" spans="1:9" x14ac:dyDescent="0.35">
      <c r="A1103" s="2" t="str">
        <f>CLEAN("WAUKESHA")</f>
        <v>WAUKESHA</v>
      </c>
      <c r="B1103" s="2" t="str">
        <f>CLEAN("CITY OF OCONOMOWOC")</f>
        <v>CITY OF OCONOMOWOC</v>
      </c>
      <c r="C1103" s="2" t="s">
        <v>457</v>
      </c>
      <c r="D1103" s="2" t="str">
        <f>CLEAN("3852-06-70")</f>
        <v>3852-06-70</v>
      </c>
      <c r="E1103" s="3" t="str">
        <f>CLEAN("C OCONOMOWOC  N LAPHAM ST")</f>
        <v>C OCONOMOWOC  N LAPHAM ST</v>
      </c>
      <c r="F1103" s="3" t="str">
        <f>CLEAN("OCONOMOWOC RIVER BRIDGE P67-770")</f>
        <v>OCONOMOWOC RIVER BRIDGE P67-770</v>
      </c>
      <c r="G1103" s="3" t="str">
        <f>CLEAN("CONST/BRIDGE REPLACEMENT")</f>
        <v>CONST/BRIDGE REPLACEMENT</v>
      </c>
      <c r="H1103" s="2" t="str">
        <f>CLEAN("LOC STR")</f>
        <v>LOC STR</v>
      </c>
      <c r="I1103" s="2" t="str">
        <f>CLEAN("205")</f>
        <v>205</v>
      </c>
    </row>
    <row r="1104" spans="1:9" x14ac:dyDescent="0.35">
      <c r="A1104" s="2" t="str">
        <f t="shared" ref="A1104:A1113" si="172">CLEAN("LA CROSSE")</f>
        <v>LA CROSSE</v>
      </c>
      <c r="B1104" s="2" t="str">
        <f t="shared" ref="B1104:B1113" si="173">CLEAN("CITY OF ONALASKA")</f>
        <v>CITY OF ONALASKA</v>
      </c>
      <c r="C1104" s="2" t="s">
        <v>2299</v>
      </c>
      <c r="D1104" s="2" t="str">
        <f>CLEAN("5991-02-03")</f>
        <v>5991-02-03</v>
      </c>
      <c r="E1104" s="3" t="str">
        <f>CLEAN("C ONALASKA  MAIN STREET")</f>
        <v>C ONALASKA  MAIN STREET</v>
      </c>
      <c r="F1104" s="3" t="str">
        <f>CLEAN("5TH AVE S TO 0.05 EAST OF 17TH AVE")</f>
        <v>5TH AVE S TO 0.05 EAST OF 17TH AVE</v>
      </c>
      <c r="G1104" s="3" t="str">
        <f>CLEAN("DESIGN-FULL PS&amp;E PVRPLA")</f>
        <v>DESIGN-FULL PS&amp;E PVRPLA</v>
      </c>
      <c r="H1104" s="2" t="str">
        <f>CLEAN("STH 157")</f>
        <v>STH 157</v>
      </c>
      <c r="I1104" s="2" t="str">
        <f>CLEAN("303")</f>
        <v>303</v>
      </c>
    </row>
    <row r="1105" spans="1:9" x14ac:dyDescent="0.35">
      <c r="A1105" s="2" t="str">
        <f t="shared" si="172"/>
        <v>LA CROSSE</v>
      </c>
      <c r="B1105" s="2" t="str">
        <f t="shared" si="173"/>
        <v>CITY OF ONALASKA</v>
      </c>
      <c r="C1105" s="2" t="s">
        <v>3131</v>
      </c>
      <c r="D1105" s="2" t="str">
        <f>CLEAN("1070-04-25")</f>
        <v>1070-04-25</v>
      </c>
      <c r="E1105" s="3" t="str">
        <f>CLEAN("LA CROSSE - SPARTA")</f>
        <v>LA CROSSE - SPARTA</v>
      </c>
      <c r="F1105" s="3" t="str">
        <f>CLEAN("STH 157 INTERCHANGE")</f>
        <v>STH 157 INTERCHANGE</v>
      </c>
      <c r="G1105" s="3" t="str">
        <f>CLEAN("RE OPS/")</f>
        <v>RE OPS/</v>
      </c>
      <c r="H1105" s="2" t="str">
        <f>CLEAN("IH  090")</f>
        <v>IH  090</v>
      </c>
      <c r="I1105" s="2" t="str">
        <f>CLEAN("303")</f>
        <v>303</v>
      </c>
    </row>
    <row r="1106" spans="1:9" x14ac:dyDescent="0.35">
      <c r="A1106" s="2" t="str">
        <f t="shared" si="172"/>
        <v>LA CROSSE</v>
      </c>
      <c r="B1106" s="2" t="str">
        <f t="shared" si="173"/>
        <v>CITY OF ONALASKA</v>
      </c>
      <c r="C1106" s="2" t="s">
        <v>1622</v>
      </c>
      <c r="D1106" s="2" t="str">
        <f>CLEAN("5991-02-61")</f>
        <v>5991-02-61</v>
      </c>
      <c r="E1106" s="3" t="str">
        <f>CLEAN("C ONALASKA  EAST AVENUE N")</f>
        <v>C ONALASKA  EAST AVENUE N</v>
      </c>
      <c r="F1106" s="3" t="str">
        <f>CLEAN("RIDERS CLUB ROAD INTERSECTION")</f>
        <v>RIDERS CLUB ROAD INTERSECTION</v>
      </c>
      <c r="G1106" s="3" t="str">
        <f>CLEAN("DESIGN - FULL PS&amp;E/MINI-RAB/RECST")</f>
        <v>DESIGN - FULL PS&amp;E/MINI-RAB/RECST</v>
      </c>
      <c r="H1106" s="2" t="str">
        <f t="shared" ref="H1106:H1114" si="174">CLEAN("LOC STR")</f>
        <v>LOC STR</v>
      </c>
      <c r="I1106" s="2" t="str">
        <f t="shared" ref="I1106:I1114" si="175">CLEAN("206")</f>
        <v>206</v>
      </c>
    </row>
    <row r="1107" spans="1:9" x14ac:dyDescent="0.35">
      <c r="A1107" s="2" t="str">
        <f t="shared" si="172"/>
        <v>LA CROSSE</v>
      </c>
      <c r="B1107" s="2" t="str">
        <f t="shared" si="173"/>
        <v>CITY OF ONALASKA</v>
      </c>
      <c r="C1107" s="2" t="s">
        <v>615</v>
      </c>
      <c r="D1107" s="2" t="str">
        <f>CLEAN("5991-02-62")</f>
        <v>5991-02-62</v>
      </c>
      <c r="E1107" s="3" t="str">
        <f>CLEAN("C ONALASKA  EAST AVENUE N")</f>
        <v>C ONALASKA  EAST AVENUE N</v>
      </c>
      <c r="F1107" s="3" t="str">
        <f>CLEAN("RIDERS CLUB ROAD INTERSECTION")</f>
        <v>RIDERS CLUB ROAD INTERSECTION</v>
      </c>
      <c r="G1107" s="3" t="str">
        <f>CLEAN("CONST/MINI-RAB/RECST")</f>
        <v>CONST/MINI-RAB/RECST</v>
      </c>
      <c r="H1107" s="2" t="str">
        <f t="shared" si="174"/>
        <v>LOC STR</v>
      </c>
      <c r="I1107" s="2" t="str">
        <f t="shared" si="175"/>
        <v>206</v>
      </c>
    </row>
    <row r="1108" spans="1:9" x14ac:dyDescent="0.35">
      <c r="A1108" s="2" t="str">
        <f t="shared" si="172"/>
        <v>LA CROSSE</v>
      </c>
      <c r="B1108" s="2" t="str">
        <f t="shared" si="173"/>
        <v>CITY OF ONALASKA</v>
      </c>
      <c r="C1108" s="2" t="s">
        <v>2074</v>
      </c>
      <c r="D1108" s="2" t="str">
        <f>CLEAN("5991-02-67")</f>
        <v>5991-02-67</v>
      </c>
      <c r="E1108" s="3" t="str">
        <f>CLEAN("CITY OF ONALASKA  MIDWEST DRIVE")</f>
        <v>CITY OF ONALASKA  MIDWEST DRIVE</v>
      </c>
      <c r="F1108" s="3" t="str">
        <f>CLEAN("THEATER ROAD TO E MAIN STREET")</f>
        <v>THEATER ROAD TO E MAIN STREET</v>
      </c>
      <c r="G1108" s="3" t="str">
        <f>CLEAN("DESIGN/PLAN CHECK REVIEW/ RECST")</f>
        <v>DESIGN/PLAN CHECK REVIEW/ RECST</v>
      </c>
      <c r="H1108" s="2" t="str">
        <f t="shared" si="174"/>
        <v>LOC STR</v>
      </c>
      <c r="I1108" s="2" t="str">
        <f t="shared" si="175"/>
        <v>206</v>
      </c>
    </row>
    <row r="1109" spans="1:9" x14ac:dyDescent="0.35">
      <c r="A1109" s="2" t="str">
        <f t="shared" si="172"/>
        <v>LA CROSSE</v>
      </c>
      <c r="B1109" s="2" t="str">
        <f t="shared" si="173"/>
        <v>CITY OF ONALASKA</v>
      </c>
      <c r="C1109" s="2" t="s">
        <v>2235</v>
      </c>
      <c r="D1109" s="2" t="str">
        <f>CLEAN("5991-02-70")</f>
        <v>5991-02-70</v>
      </c>
      <c r="E1109" s="3" t="str">
        <f>CLEAN("CITY OF ONALASKA  THEATER ROAD")</f>
        <v>CITY OF ONALASKA  THEATER ROAD</v>
      </c>
      <c r="F1109" s="3" t="str">
        <f>CLEAN("CTH OS TO MIDWEST DRIVE")</f>
        <v>CTH OS TO MIDWEST DRIVE</v>
      </c>
      <c r="G1109" s="3" t="str">
        <f>CLEAN("DESIGN/PLAN CHECK REVIEW/RSRF15")</f>
        <v>DESIGN/PLAN CHECK REVIEW/RSRF15</v>
      </c>
      <c r="H1109" s="2" t="str">
        <f t="shared" si="174"/>
        <v>LOC STR</v>
      </c>
      <c r="I1109" s="2" t="str">
        <f t="shared" si="175"/>
        <v>206</v>
      </c>
    </row>
    <row r="1110" spans="1:9" x14ac:dyDescent="0.35">
      <c r="A1110" s="2" t="str">
        <f t="shared" si="172"/>
        <v>LA CROSSE</v>
      </c>
      <c r="B1110" s="2" t="str">
        <f t="shared" si="173"/>
        <v>CITY OF ONALASKA</v>
      </c>
      <c r="C1110" s="2" t="s">
        <v>206</v>
      </c>
      <c r="D1110" s="2" t="str">
        <f>CLEAN("5991-02-71")</f>
        <v>5991-02-71</v>
      </c>
      <c r="E1110" s="3" t="str">
        <f>CLEAN("CITY OF ONALASKA  THEATER ROAD")</f>
        <v>CITY OF ONALASKA  THEATER ROAD</v>
      </c>
      <c r="F1110" s="3" t="str">
        <f>CLEAN("CTH OS TO MIDWEST DRIVE")</f>
        <v>CTH OS TO MIDWEST DRIVE</v>
      </c>
      <c r="G1110" s="3" t="str">
        <f>CLEAN("CONST OPS/PAVEMENT RESURFACING")</f>
        <v>CONST OPS/PAVEMENT RESURFACING</v>
      </c>
      <c r="H1110" s="2" t="str">
        <f t="shared" si="174"/>
        <v>LOC STR</v>
      </c>
      <c r="I1110" s="2" t="str">
        <f t="shared" si="175"/>
        <v>206</v>
      </c>
    </row>
    <row r="1111" spans="1:9" x14ac:dyDescent="0.35">
      <c r="A1111" s="2" t="str">
        <f t="shared" si="172"/>
        <v>LA CROSSE</v>
      </c>
      <c r="B1111" s="2" t="str">
        <f t="shared" si="173"/>
        <v>CITY OF ONALASKA</v>
      </c>
      <c r="C1111" s="2" t="s">
        <v>2133</v>
      </c>
      <c r="D1111" s="2" t="str">
        <f>CLEAN("5991-02-77")</f>
        <v>5991-02-77</v>
      </c>
      <c r="E1111" s="3" t="str">
        <f>CLEAN("C ONALASKA  CTH SS")</f>
        <v>C ONALASKA  CTH SS</v>
      </c>
      <c r="F1111" s="3" t="str">
        <f>CLEAN("12TH AVENUE S. CROSSING MEADOW DR.")</f>
        <v>12TH AVENUE S. CROSSING MEADOW DR.</v>
      </c>
      <c r="G1111" s="3" t="str">
        <f>CLEAN("DESIGN/PLAN CHECK REVIEW/PVRPLA")</f>
        <v>DESIGN/PLAN CHECK REVIEW/PVRPLA</v>
      </c>
      <c r="H1111" s="2" t="str">
        <f t="shared" si="174"/>
        <v>LOC STR</v>
      </c>
      <c r="I1111" s="2" t="str">
        <f t="shared" si="175"/>
        <v>206</v>
      </c>
    </row>
    <row r="1112" spans="1:9" x14ac:dyDescent="0.35">
      <c r="A1112" s="2" t="str">
        <f t="shared" si="172"/>
        <v>LA CROSSE</v>
      </c>
      <c r="B1112" s="2" t="str">
        <f t="shared" si="173"/>
        <v>CITY OF ONALASKA</v>
      </c>
      <c r="C1112" s="2" t="s">
        <v>1684</v>
      </c>
      <c r="D1112" s="2" t="str">
        <f>CLEAN("5991-02-79")</f>
        <v>5991-02-79</v>
      </c>
      <c r="E1112" s="3" t="str">
        <f>CLEAN("C ONALASKA  12TH AVENUE S")</f>
        <v>C ONALASKA  12TH AVENUE S</v>
      </c>
      <c r="F1112" s="3" t="str">
        <f>CLEAN("OAK FOREST DRIVE INTERSECTION")</f>
        <v>OAK FOREST DRIVE INTERSECTION</v>
      </c>
      <c r="G1112" s="3" t="str">
        <f>CLEAN("DESIGN - PLAN CHECK REVIEW/RECST")</f>
        <v>DESIGN - PLAN CHECK REVIEW/RECST</v>
      </c>
      <c r="H1112" s="2" t="str">
        <f t="shared" si="174"/>
        <v>LOC STR</v>
      </c>
      <c r="I1112" s="2" t="str">
        <f t="shared" si="175"/>
        <v>206</v>
      </c>
    </row>
    <row r="1113" spans="1:9" x14ac:dyDescent="0.35">
      <c r="A1113" s="2" t="str">
        <f t="shared" si="172"/>
        <v>LA CROSSE</v>
      </c>
      <c r="B1113" s="2" t="str">
        <f t="shared" si="173"/>
        <v>CITY OF ONALASKA</v>
      </c>
      <c r="C1113" s="2" t="s">
        <v>2237</v>
      </c>
      <c r="D1113" s="2" t="str">
        <f>CLEAN("5991-02-81")</f>
        <v>5991-02-81</v>
      </c>
      <c r="E1113" s="3" t="str">
        <f>CLEAN("C ONALASKA  EAST AVE SIDEWALK")</f>
        <v>C ONALASKA  EAST AVE SIDEWALK</v>
      </c>
      <c r="F1113" s="3" t="str">
        <f>CLEAN("CENTURY PLACE TO OAK PARK DRIVE")</f>
        <v>CENTURY PLACE TO OAK PARK DRIVE</v>
      </c>
      <c r="G1113" s="3" t="str">
        <f>CLEAN("DESIGN/PLAN CHECK REVIEW/SIDEWALK")</f>
        <v>DESIGN/PLAN CHECK REVIEW/SIDEWALK</v>
      </c>
      <c r="H1113" s="2" t="str">
        <f t="shared" si="174"/>
        <v>LOC STR</v>
      </c>
      <c r="I1113" s="2" t="str">
        <f t="shared" si="175"/>
        <v>206</v>
      </c>
    </row>
    <row r="1114" spans="1:9" x14ac:dyDescent="0.35">
      <c r="A1114" s="2" t="str">
        <f t="shared" ref="A1114:A1120" si="176">CLEAN("WINNEBAGO")</f>
        <v>WINNEBAGO</v>
      </c>
      <c r="B1114" s="2" t="str">
        <f t="shared" ref="B1114:B1120" si="177">CLEAN("CITY OF OSHKOSH")</f>
        <v>CITY OF OSHKOSH</v>
      </c>
      <c r="C1114" s="2" t="s">
        <v>2482</v>
      </c>
      <c r="D1114" s="2" t="str">
        <f>CLEAN("4994-01-30")</f>
        <v>4994-01-30</v>
      </c>
      <c r="E1114" s="3" t="str">
        <f>CLEAN("C OSHKOSH  BOWEN STREET")</f>
        <v>C OSHKOSH  BOWEN STREET</v>
      </c>
      <c r="F1114" s="3" t="str">
        <f>CLEAN("OTTER AVENUE TO EAST PARKWAY AVENUE")</f>
        <v>OTTER AVENUE TO EAST PARKWAY AVENUE</v>
      </c>
      <c r="G1114" s="3" t="str">
        <f>CLEAN("DSN/FULL PSE/RECST")</f>
        <v>DSN/FULL PSE/RECST</v>
      </c>
      <c r="H1114" s="2" t="str">
        <f t="shared" si="174"/>
        <v>LOC STR</v>
      </c>
      <c r="I1114" s="2" t="str">
        <f t="shared" si="175"/>
        <v>206</v>
      </c>
    </row>
    <row r="1115" spans="1:9" x14ac:dyDescent="0.35">
      <c r="A1115" s="2" t="str">
        <f t="shared" si="176"/>
        <v>WINNEBAGO</v>
      </c>
      <c r="B1115" s="2" t="str">
        <f t="shared" si="177"/>
        <v>CITY OF OSHKOSH</v>
      </c>
      <c r="C1115" s="2" t="s">
        <v>2464</v>
      </c>
      <c r="D1115" s="2" t="str">
        <f>CLEAN("4110-34-00")</f>
        <v>4110-34-00</v>
      </c>
      <c r="E1115" s="3" t="str">
        <f>CLEAN("MAIN ST  C OSHKOSH")</f>
        <v>MAIN ST  C OSHKOSH</v>
      </c>
      <c r="F1115" s="3" t="str">
        <f>CLEAN("16TH AVE - FOX RIVER")</f>
        <v>16TH AVE - FOX RIVER</v>
      </c>
      <c r="G1115" s="3" t="str">
        <f>CLEAN("DSN/FULL PSE/PVRPLA")</f>
        <v>DSN/FULL PSE/PVRPLA</v>
      </c>
      <c r="H1115" s="2" t="str">
        <f>CLEAN("USH 045")</f>
        <v>USH 045</v>
      </c>
      <c r="I1115" s="2" t="str">
        <f>CLEAN("303")</f>
        <v>303</v>
      </c>
    </row>
    <row r="1116" spans="1:9" x14ac:dyDescent="0.35">
      <c r="A1116" s="2" t="str">
        <f t="shared" si="176"/>
        <v>WINNEBAGO</v>
      </c>
      <c r="B1116" s="2" t="str">
        <f t="shared" si="177"/>
        <v>CITY OF OSHKOSH</v>
      </c>
      <c r="C1116" s="2" t="s">
        <v>2404</v>
      </c>
      <c r="D1116" s="2" t="str">
        <f>CLEAN("4994-01-40")</f>
        <v>4994-01-40</v>
      </c>
      <c r="E1116" s="3" t="str">
        <f>CLEAN("C OSHKOSH  OREGON STREET")</f>
        <v>C OSHKOSH  OREGON STREET</v>
      </c>
      <c r="F1116" s="3" t="str">
        <f>CLEAN("8TH AVENUE TO 6TH AVENUE")</f>
        <v>8TH AVENUE TO 6TH AVENUE</v>
      </c>
      <c r="G1116" s="3" t="str">
        <f>CLEAN("DSGN/FULL PSE/RECST")</f>
        <v>DSGN/FULL PSE/RECST</v>
      </c>
      <c r="H1116" s="2" t="str">
        <f>CLEAN("LOC STR")</f>
        <v>LOC STR</v>
      </c>
      <c r="I1116" s="2" t="str">
        <f>CLEAN("206")</f>
        <v>206</v>
      </c>
    </row>
    <row r="1117" spans="1:9" x14ac:dyDescent="0.35">
      <c r="A1117" s="2" t="str">
        <f t="shared" si="176"/>
        <v>WINNEBAGO</v>
      </c>
      <c r="B1117" s="2" t="str">
        <f t="shared" si="177"/>
        <v>CITY OF OSHKOSH</v>
      </c>
      <c r="C1117" s="2" t="s">
        <v>2415</v>
      </c>
      <c r="D1117" s="2" t="str">
        <f>CLEAN("4994-01-42")</f>
        <v>4994-01-42</v>
      </c>
      <c r="E1117" s="3" t="str">
        <f>CLEAN("C OSHKOSH  JACKSON STREET")</f>
        <v>C OSHKOSH  JACKSON STREET</v>
      </c>
      <c r="F1117" s="3" t="str">
        <f>CLEAN("MARION ROAD TO HIGH AVENUE")</f>
        <v>MARION ROAD TO HIGH AVENUE</v>
      </c>
      <c r="G1117" s="3" t="str">
        <f>CLEAN("DSGN/FULL PSE/RECST")</f>
        <v>DSGN/FULL PSE/RECST</v>
      </c>
      <c r="H1117" s="2" t="str">
        <f>CLEAN("LOC STR")</f>
        <v>LOC STR</v>
      </c>
      <c r="I1117" s="2" t="str">
        <f>CLEAN("206")</f>
        <v>206</v>
      </c>
    </row>
    <row r="1118" spans="1:9" x14ac:dyDescent="0.35">
      <c r="A1118" s="2" t="str">
        <f t="shared" si="176"/>
        <v>WINNEBAGO</v>
      </c>
      <c r="B1118" s="2" t="str">
        <f t="shared" si="177"/>
        <v>CITY OF OSHKOSH</v>
      </c>
      <c r="C1118" s="2" t="s">
        <v>2397</v>
      </c>
      <c r="D1118" s="2" t="str">
        <f>CLEAN("6110-28-00")</f>
        <v>6110-28-00</v>
      </c>
      <c r="E1118" s="3" t="str">
        <f>CLEAN("C OSHKOSH  STH 44")</f>
        <v>C OSHKOSH  STH 44</v>
      </c>
      <c r="F1118" s="3" t="str">
        <f>CLEAN("IH 41 - WITZEL AVENUE")</f>
        <v>IH 41 - WITZEL AVENUE</v>
      </c>
      <c r="G1118" s="3" t="str">
        <f>CLEAN("DSGN/FULL PSE/PSRS30")</f>
        <v>DSGN/FULL PSE/PSRS30</v>
      </c>
      <c r="H1118" s="2" t="str">
        <f>CLEAN("STH 044")</f>
        <v>STH 044</v>
      </c>
      <c r="I1118" s="2" t="str">
        <f t="shared" ref="I1118:I1123" si="178">CLEAN("303")</f>
        <v>303</v>
      </c>
    </row>
    <row r="1119" spans="1:9" x14ac:dyDescent="0.35">
      <c r="A1119" s="2" t="str">
        <f t="shared" si="176"/>
        <v>WINNEBAGO</v>
      </c>
      <c r="B1119" s="2" t="str">
        <f t="shared" si="177"/>
        <v>CITY OF OSHKOSH</v>
      </c>
      <c r="C1119" s="2" t="s">
        <v>2396</v>
      </c>
      <c r="D1119" s="2" t="str">
        <f>CLEAN("6180-06-00")</f>
        <v>6180-06-00</v>
      </c>
      <c r="E1119" s="3" t="str">
        <f>CLEAN("C OSHKOSH  STH 21")</f>
        <v>C OSHKOSH  STH 21</v>
      </c>
      <c r="F1119" s="3" t="str">
        <f>CLEAN("WASHBURN STREET - MURDOCK AVENUE")</f>
        <v>WASHBURN STREET - MURDOCK AVENUE</v>
      </c>
      <c r="G1119" s="3" t="str">
        <f>CLEAN("DSGN/FULL PSE/PSRS20")</f>
        <v>DSGN/FULL PSE/PSRS20</v>
      </c>
      <c r="H1119" s="2" t="str">
        <f>CLEAN("STH 021")</f>
        <v>STH 021</v>
      </c>
      <c r="I1119" s="2" t="str">
        <f t="shared" si="178"/>
        <v>303</v>
      </c>
    </row>
    <row r="1120" spans="1:9" x14ac:dyDescent="0.35">
      <c r="A1120" s="2" t="str">
        <f t="shared" si="176"/>
        <v>WINNEBAGO</v>
      </c>
      <c r="B1120" s="2" t="str">
        <f t="shared" si="177"/>
        <v>CITY OF OSHKOSH</v>
      </c>
      <c r="C1120" s="2" t="s">
        <v>2420</v>
      </c>
      <c r="D1120" s="2" t="str">
        <f>CLEAN("6430-21-00")</f>
        <v>6430-21-00</v>
      </c>
      <c r="E1120" s="3" t="str">
        <f>CLEAN("OSHKOSH - GREENVILLE")</f>
        <v>OSHKOSH - GREENVILLE</v>
      </c>
      <c r="F1120" s="3" t="str">
        <f>CLEAN("MURDOCK AVENUE - IH 41")</f>
        <v>MURDOCK AVENUE - IH 41</v>
      </c>
      <c r="G1120" s="3" t="str">
        <f>CLEAN("DSGN/FULL PSE/RSRF")</f>
        <v>DSGN/FULL PSE/RSRF</v>
      </c>
      <c r="H1120" s="2" t="str">
        <f>CLEAN("STH 076")</f>
        <v>STH 076</v>
      </c>
      <c r="I1120" s="2" t="str">
        <f t="shared" si="178"/>
        <v>303</v>
      </c>
    </row>
    <row r="1121" spans="1:9" x14ac:dyDescent="0.35">
      <c r="A1121" s="2" t="str">
        <f>CLEAN("TREMPEALEAU")</f>
        <v>TREMPEALEAU</v>
      </c>
      <c r="B1121" s="2" t="str">
        <f>CLEAN("CITY OF OSSEO")</f>
        <v>CITY OF OSSEO</v>
      </c>
      <c r="C1121" s="2" t="s">
        <v>3163</v>
      </c>
      <c r="D1121" s="2" t="str">
        <f>CLEAN("1535-07-23")</f>
        <v>1535-07-23</v>
      </c>
      <c r="E1121" s="3" t="str">
        <f>CLEAN("MONDOVI - OSSEO")</f>
        <v>MONDOVI - OSSEO</v>
      </c>
      <c r="F1121" s="3" t="str">
        <f>CLEAN("NELSON ROAD TO IH 94")</f>
        <v>NELSON ROAD TO IH 94</v>
      </c>
      <c r="G1121" s="3" t="str">
        <f>CLEAN("REAL ESTATE ACQUISITION")</f>
        <v>REAL ESTATE ACQUISITION</v>
      </c>
      <c r="H1121" s="2" t="str">
        <f>CLEAN("USH 010")</f>
        <v>USH 010</v>
      </c>
      <c r="I1121" s="2" t="str">
        <f t="shared" si="178"/>
        <v>303</v>
      </c>
    </row>
    <row r="1122" spans="1:9" x14ac:dyDescent="0.35">
      <c r="A1122" s="2" t="str">
        <f>CLEAN("TREMPEALEAU")</f>
        <v>TREMPEALEAU</v>
      </c>
      <c r="B1122" s="2" t="str">
        <f>CLEAN("CITY OF OSSEO")</f>
        <v>CITY OF OSSEO</v>
      </c>
      <c r="C1122" s="2" t="s">
        <v>1294</v>
      </c>
      <c r="D1122" s="2" t="str">
        <f>CLEAN("1535-07-73")</f>
        <v>1535-07-73</v>
      </c>
      <c r="E1122" s="3" t="str">
        <f>CLEAN("MONDOVI - OSSEO")</f>
        <v>MONDOVI - OSSEO</v>
      </c>
      <c r="F1122" s="3" t="str">
        <f>CLEAN("NELSON RD TO IH 94 WB RAMPS")</f>
        <v>NELSON RD TO IH 94 WB RAMPS</v>
      </c>
      <c r="G1122" s="3" t="str">
        <f>CLEAN("CONSTRUCTION/PAVEMENT REPLACEMENT")</f>
        <v>CONSTRUCTION/PAVEMENT REPLACEMENT</v>
      </c>
      <c r="H1122" s="2" t="str">
        <f>CLEAN("USH 010")</f>
        <v>USH 010</v>
      </c>
      <c r="I1122" s="2" t="str">
        <f t="shared" si="178"/>
        <v>303</v>
      </c>
    </row>
    <row r="1123" spans="1:9" x14ac:dyDescent="0.35">
      <c r="A1123" s="2" t="str">
        <f>CLEAN("TREMPEALEAU")</f>
        <v>TREMPEALEAU</v>
      </c>
      <c r="B1123" s="2" t="str">
        <f>CLEAN("CITY OF OSSEO")</f>
        <v>CITY OF OSSEO</v>
      </c>
      <c r="C1123" s="2" t="s">
        <v>1032</v>
      </c>
      <c r="D1123" s="2" t="str">
        <f>CLEAN("1535-07-74")</f>
        <v>1535-07-74</v>
      </c>
      <c r="E1123" s="3" t="str">
        <f>CLEAN("MONDOVI - OSSEO")</f>
        <v>MONDOVI - OSSEO</v>
      </c>
      <c r="F1123" s="3" t="str">
        <f>CLEAN("NELSON RD TO IH 94")</f>
        <v>NELSON RD TO IH 94</v>
      </c>
      <c r="G1123" s="3" t="str">
        <f>CLEAN("CONST/SANITARY SEWER AND WATER MAIN")</f>
        <v>CONST/SANITARY SEWER AND WATER MAIN</v>
      </c>
      <c r="H1123" s="2" t="str">
        <f>CLEAN("USH 010")</f>
        <v>USH 010</v>
      </c>
      <c r="I1123" s="2" t="str">
        <f t="shared" si="178"/>
        <v>303</v>
      </c>
    </row>
    <row r="1124" spans="1:9" x14ac:dyDescent="0.35">
      <c r="A1124" s="2" t="str">
        <f>CLEAN("TREMPEALEAU")</f>
        <v>TREMPEALEAU</v>
      </c>
      <c r="B1124" s="2" t="str">
        <f>CLEAN("CITY OF OSSEO")</f>
        <v>CITY OF OSSEO</v>
      </c>
      <c r="C1124" s="2" t="s">
        <v>1645</v>
      </c>
      <c r="D1124" s="2" t="str">
        <f>CLEAN("7287-00-02")</f>
        <v>7287-00-02</v>
      </c>
      <c r="E1124" s="3" t="str">
        <f>CLEAN("C OSSEO  WEST ST &amp; ELEVATOR ST")</f>
        <v>C OSSEO  WEST ST &amp; ELEVATOR ST</v>
      </c>
      <c r="F1124" s="3" t="str">
        <f>CLEAN("USH 10/WEST ST TO ELEVATOR/NORTH ST")</f>
        <v>USH 10/WEST ST TO ELEVATOR/NORTH ST</v>
      </c>
      <c r="G1124" s="3" t="str">
        <f>CLEAN("DESIGN - FULL PS&amp;E/RECONDITION")</f>
        <v>DESIGN - FULL PS&amp;E/RECONDITION</v>
      </c>
      <c r="H1124" s="2" t="str">
        <f>CLEAN("LOC STR")</f>
        <v>LOC STR</v>
      </c>
      <c r="I1124" s="2" t="str">
        <f>CLEAN("206")</f>
        <v>206</v>
      </c>
    </row>
    <row r="1125" spans="1:9" x14ac:dyDescent="0.35">
      <c r="A1125" s="2" t="str">
        <f>CLEAN("TREMPEALEAU")</f>
        <v>TREMPEALEAU</v>
      </c>
      <c r="B1125" s="2" t="str">
        <f>CLEAN("CITY OF OSSEO")</f>
        <v>CITY OF OSSEO</v>
      </c>
      <c r="C1125" s="2" t="s">
        <v>1317</v>
      </c>
      <c r="D1125" s="2" t="str">
        <f>CLEAN("7287-00-72")</f>
        <v>7287-00-72</v>
      </c>
      <c r="E1125" s="3" t="str">
        <f>CLEAN("C OSSEO  WEST ST &amp; ELEVATOR ST")</f>
        <v>C OSSEO  WEST ST &amp; ELEVATOR ST</v>
      </c>
      <c r="F1125" s="3" t="str">
        <f>CLEAN("USH 10/WEST ST TO ELEVATOR/NORTH ST")</f>
        <v>USH 10/WEST ST TO ELEVATOR/NORTH ST</v>
      </c>
      <c r="G1125" s="3" t="str">
        <f>CLEAN("CONSTRUCTION/RECONDITION")</f>
        <v>CONSTRUCTION/RECONDITION</v>
      </c>
      <c r="H1125" s="2" t="str">
        <f>CLEAN("LOC STR")</f>
        <v>LOC STR</v>
      </c>
      <c r="I1125" s="2" t="str">
        <f>CLEAN("206")</f>
        <v>206</v>
      </c>
    </row>
    <row r="1126" spans="1:9" x14ac:dyDescent="0.35">
      <c r="A1126" s="2" t="str">
        <f>CLEAN("CLARK")</f>
        <v>CLARK</v>
      </c>
      <c r="B1126" s="2" t="str">
        <f>CLEAN("CITY OF OWEN")</f>
        <v>CITY OF OWEN</v>
      </c>
      <c r="C1126" s="2" t="s">
        <v>1738</v>
      </c>
      <c r="D1126" s="2" t="str">
        <f>CLEAN("8883-00-02")</f>
        <v>8883-00-02</v>
      </c>
      <c r="E1126" s="3" t="str">
        <f>CLEAN("C OWEN  OWEN/WITHEE TRAIL")</f>
        <v>C OWEN  OWEN/WITHEE TRAIL</v>
      </c>
      <c r="F1126" s="3" t="str">
        <f>CLEAN("VARIOUS STREETS")</f>
        <v>VARIOUS STREETS</v>
      </c>
      <c r="G1126" s="3" t="str">
        <f>CLEAN("DESIGN/BIKE &amp; PED TRAIL TAP PROGRAM")</f>
        <v>DESIGN/BIKE &amp; PED TRAIL TAP PROGRAM</v>
      </c>
      <c r="H1126" s="2" t="str">
        <f>CLEAN("NON HWY")</f>
        <v>NON HWY</v>
      </c>
      <c r="I1126" s="2" t="str">
        <f>CLEAN("290")</f>
        <v>290</v>
      </c>
    </row>
    <row r="1127" spans="1:9" x14ac:dyDescent="0.35">
      <c r="A1127" s="2" t="str">
        <f>CLEAN("CLARK")</f>
        <v>CLARK</v>
      </c>
      <c r="B1127" s="2" t="str">
        <f>CLEAN("CITY OF OWEN")</f>
        <v>CITY OF OWEN</v>
      </c>
      <c r="C1127" s="2" t="s">
        <v>1121</v>
      </c>
      <c r="D1127" s="2" t="str">
        <f>CLEAN("8883-00-72")</f>
        <v>8883-00-72</v>
      </c>
      <c r="E1127" s="3" t="str">
        <f>CLEAN("C OWEN  OWEN/WITHEE TRAIL")</f>
        <v>C OWEN  OWEN/WITHEE TRAIL</v>
      </c>
      <c r="F1127" s="3" t="str">
        <f>CLEAN("VARIOUS STREETS")</f>
        <v>VARIOUS STREETS</v>
      </c>
      <c r="G1127" s="3" t="str">
        <f>CLEAN("CONSTR/BIKE &amp; PED TRAIL TAP PROGRAM")</f>
        <v>CONSTR/BIKE &amp; PED TRAIL TAP PROGRAM</v>
      </c>
      <c r="H1127" s="2" t="str">
        <f>CLEAN("NON HWY")</f>
        <v>NON HWY</v>
      </c>
      <c r="I1127" s="2" t="str">
        <f>CLEAN("290")</f>
        <v>290</v>
      </c>
    </row>
    <row r="1128" spans="1:9" x14ac:dyDescent="0.35">
      <c r="A1128" s="2" t="str">
        <f>CLEAN("PRICE")</f>
        <v>PRICE</v>
      </c>
      <c r="B1128" s="2" t="str">
        <f>CLEAN("CITY OF PARK FALLS")</f>
        <v>CITY OF PARK FALLS</v>
      </c>
      <c r="C1128" s="2" t="s">
        <v>977</v>
      </c>
      <c r="D1128" s="2" t="str">
        <f>CLEAN("9931-02-72")</f>
        <v>9931-02-72</v>
      </c>
      <c r="E1128" s="3" t="str">
        <f>CLEAN("CITY OF PARK FALLS")</f>
        <v>CITY OF PARK FALLS</v>
      </c>
      <c r="F1128" s="3" t="str">
        <f>CLEAN("N FORK FLAMBEAU RVR BRDG - 5TH ST N")</f>
        <v>N FORK FLAMBEAU RVR BRDG - 5TH ST N</v>
      </c>
      <c r="G1128" s="3" t="str">
        <f>CLEAN("CONST/RESURFACE")</f>
        <v>CONST/RESURFACE</v>
      </c>
      <c r="H1128" s="2" t="str">
        <f>CLEAN("STH 013")</f>
        <v>STH 013</v>
      </c>
      <c r="I1128" s="2" t="str">
        <f>CLEAN("303")</f>
        <v>303</v>
      </c>
    </row>
    <row r="1129" spans="1:9" x14ac:dyDescent="0.35">
      <c r="A1129" s="2" t="str">
        <f t="shared" ref="A1129:A1134" si="179">CLEAN("WAUKESHA")</f>
        <v>WAUKESHA</v>
      </c>
      <c r="B1129" s="2" t="str">
        <f t="shared" ref="B1129:B1134" si="180">CLEAN("CITY OF PEWAUKEE")</f>
        <v>CITY OF PEWAUKEE</v>
      </c>
      <c r="C1129" s="2" t="s">
        <v>2998</v>
      </c>
      <c r="D1129" s="2" t="str">
        <f>CLEAN("2717-03-02")</f>
        <v>2717-03-02</v>
      </c>
      <c r="E1129" s="3" t="str">
        <f>CLEAN("C PEWAUKEE  BUSSE RD")</f>
        <v>C PEWAUKEE  BUSSE RD</v>
      </c>
      <c r="F1129" s="3" t="str">
        <f>CLEAN("PEWAUKEE RIVER P67-0094")</f>
        <v>PEWAUKEE RIVER P67-0094</v>
      </c>
      <c r="G1129" s="3" t="str">
        <f>CLEAN("PE/STATE REVIEW ONLY")</f>
        <v>PE/STATE REVIEW ONLY</v>
      </c>
      <c r="H1129" s="2" t="str">
        <f>CLEAN("LOC STR")</f>
        <v>LOC STR</v>
      </c>
      <c r="I1129" s="2" t="str">
        <f>CLEAN("205")</f>
        <v>205</v>
      </c>
    </row>
    <row r="1130" spans="1:9" x14ac:dyDescent="0.35">
      <c r="A1130" s="2" t="str">
        <f t="shared" si="179"/>
        <v>WAUKESHA</v>
      </c>
      <c r="B1130" s="2" t="str">
        <f t="shared" si="180"/>
        <v>CITY OF PEWAUKEE</v>
      </c>
      <c r="C1130" s="2" t="s">
        <v>987</v>
      </c>
      <c r="D1130" s="2" t="str">
        <f>CLEAN("2025-07-73")</f>
        <v>2025-07-73</v>
      </c>
      <c r="E1130" s="3" t="str">
        <f>CLEAN("CITY &amp; VIL PEWAUKEE  CAPITOL DR")</f>
        <v>CITY &amp; VIL PEWAUKEE  CAPITOL DR</v>
      </c>
      <c r="F1130" s="3" t="str">
        <f>CLEAN("STH 16 TO .3 MI E OF 5 FIELDS RD")</f>
        <v>STH 16 TO .3 MI E OF 5 FIELDS RD</v>
      </c>
      <c r="G1130" s="3" t="str">
        <f>CLEAN("CONST/RESURFACE")</f>
        <v>CONST/RESURFACE</v>
      </c>
      <c r="H1130" s="2" t="str">
        <f>CLEAN("STH 190")</f>
        <v>STH 190</v>
      </c>
      <c r="I1130" s="2" t="str">
        <f>CLEAN("303")</f>
        <v>303</v>
      </c>
    </row>
    <row r="1131" spans="1:9" x14ac:dyDescent="0.35">
      <c r="A1131" s="2" t="str">
        <f t="shared" si="179"/>
        <v>WAUKESHA</v>
      </c>
      <c r="B1131" s="2" t="str">
        <f t="shared" si="180"/>
        <v>CITY OF PEWAUKEE</v>
      </c>
      <c r="C1131" s="2" t="s">
        <v>2648</v>
      </c>
      <c r="D1131" s="2" t="str">
        <f>CLEAN("2370-04-00")</f>
        <v>2370-04-00</v>
      </c>
      <c r="E1131" s="3" t="str">
        <f>CLEAN("DUPLAINVILLE ROAD")</f>
        <v>DUPLAINVILLE ROAD</v>
      </c>
      <c r="F1131" s="3" t="str">
        <f>CLEAN("BRIDGE OVER SPRING CREEK B-67-0009")</f>
        <v>BRIDGE OVER SPRING CREEK B-67-0009</v>
      </c>
      <c r="G1131" s="3" t="str">
        <f>CLEAN("PE/BRIDGE REPLACEMENT")</f>
        <v>PE/BRIDGE REPLACEMENT</v>
      </c>
      <c r="H1131" s="2" t="str">
        <f>CLEAN("LOC STR")</f>
        <v>LOC STR</v>
      </c>
      <c r="I1131" s="2" t="str">
        <f>CLEAN("205")</f>
        <v>205</v>
      </c>
    </row>
    <row r="1132" spans="1:9" x14ac:dyDescent="0.35">
      <c r="A1132" s="2" t="str">
        <f t="shared" si="179"/>
        <v>WAUKESHA</v>
      </c>
      <c r="B1132" s="2" t="str">
        <f t="shared" si="180"/>
        <v>CITY OF PEWAUKEE</v>
      </c>
      <c r="C1132" s="2" t="s">
        <v>427</v>
      </c>
      <c r="D1132" s="2" t="str">
        <f>CLEAN("2370-04-70")</f>
        <v>2370-04-70</v>
      </c>
      <c r="E1132" s="3" t="str">
        <f>CLEAN("DUPLAINVILLE ROAD")</f>
        <v>DUPLAINVILLE ROAD</v>
      </c>
      <c r="F1132" s="3" t="str">
        <f>CLEAN("BRIDGE OVER SPRING CREEK B-67-0009")</f>
        <v>BRIDGE OVER SPRING CREEK B-67-0009</v>
      </c>
      <c r="G1132" s="3" t="str">
        <f>CLEAN("CONST/BRIDGE REPLACEMENT")</f>
        <v>CONST/BRIDGE REPLACEMENT</v>
      </c>
      <c r="H1132" s="2" t="str">
        <f>CLEAN("LOC STR")</f>
        <v>LOC STR</v>
      </c>
      <c r="I1132" s="2" t="str">
        <f>CLEAN("205")</f>
        <v>205</v>
      </c>
    </row>
    <row r="1133" spans="1:9" x14ac:dyDescent="0.35">
      <c r="A1133" s="2" t="str">
        <f t="shared" si="179"/>
        <v>WAUKESHA</v>
      </c>
      <c r="B1133" s="2" t="str">
        <f t="shared" si="180"/>
        <v>CITY OF PEWAUKEE</v>
      </c>
      <c r="C1133" s="2" t="s">
        <v>515</v>
      </c>
      <c r="D1133" s="2" t="str">
        <f>CLEAN("2717-03-72")</f>
        <v>2717-03-72</v>
      </c>
      <c r="E1133" s="3" t="str">
        <f>CLEAN("C PEWAUKEE  BUSSE RD")</f>
        <v>C PEWAUKEE  BUSSE RD</v>
      </c>
      <c r="F1133" s="3" t="str">
        <f>CLEAN("PEWAUKEE RIVER P67-0094")</f>
        <v>PEWAUKEE RIVER P67-0094</v>
      </c>
      <c r="G1133" s="3" t="str">
        <f>CLEAN("CONST/BRRPL")</f>
        <v>CONST/BRRPL</v>
      </c>
      <c r="H1133" s="2" t="str">
        <f>CLEAN("LOC STR")</f>
        <v>LOC STR</v>
      </c>
      <c r="I1133" s="2" t="str">
        <f>CLEAN("205")</f>
        <v>205</v>
      </c>
    </row>
    <row r="1134" spans="1:9" x14ac:dyDescent="0.35">
      <c r="A1134" s="2" t="str">
        <f t="shared" si="179"/>
        <v>WAUKESHA</v>
      </c>
      <c r="B1134" s="2" t="str">
        <f t="shared" si="180"/>
        <v>CITY OF PEWAUKEE</v>
      </c>
      <c r="C1134" s="2" t="s">
        <v>2806</v>
      </c>
      <c r="D1134" s="2" t="str">
        <f>CLEAN("2717-08-00")</f>
        <v>2717-08-00</v>
      </c>
      <c r="E1134" s="3" t="str">
        <f>CLEAN("C PEWAUKEE MEADOWBROOK-PROSPECT TRL")</f>
        <v>C PEWAUKEE MEADOWBROOK-PROSPECT TRL</v>
      </c>
      <c r="F1134" s="3" t="str">
        <f>CLEAN("LAKE COUNTRY TRAIL TO PIRATE PASS")</f>
        <v>LAKE COUNTRY TRAIL TO PIRATE PASS</v>
      </c>
      <c r="G1134" s="3" t="str">
        <f>CLEAN("PE/FULL PS/MISC")</f>
        <v>PE/FULL PS/MISC</v>
      </c>
      <c r="H1134" s="2" t="str">
        <f>CLEAN("NON HWY")</f>
        <v>NON HWY</v>
      </c>
      <c r="I1134" s="2" t="str">
        <f>CLEAN("211")</f>
        <v>211</v>
      </c>
    </row>
    <row r="1135" spans="1:9" x14ac:dyDescent="0.35">
      <c r="A1135" s="2" t="str">
        <f>CLEAN("PRICE")</f>
        <v>PRICE</v>
      </c>
      <c r="B1135" s="2" t="str">
        <f>CLEAN("CITY OF PHILLIPS")</f>
        <v>CITY OF PHILLIPS</v>
      </c>
      <c r="C1135" s="2" t="s">
        <v>714</v>
      </c>
      <c r="D1135" s="2" t="str">
        <f>CLEAN("1610-44-71")</f>
        <v>1610-44-71</v>
      </c>
      <c r="E1135" s="3" t="str">
        <f>CLEAN("C PHILLIPS  LAKE STREET")</f>
        <v>C PHILLIPS  LAKE STREET</v>
      </c>
      <c r="F1135" s="3" t="str">
        <f>CLEAN("CTH D TO CTH F")</f>
        <v>CTH D TO CTH F</v>
      </c>
      <c r="G1135" s="3" t="str">
        <f>CLEAN("CONST/PVRPLA")</f>
        <v>CONST/PVRPLA</v>
      </c>
      <c r="H1135" s="2" t="str">
        <f>CLEAN("STH 013")</f>
        <v>STH 013</v>
      </c>
      <c r="I1135" s="2" t="str">
        <f>CLEAN("303")</f>
        <v>303</v>
      </c>
    </row>
    <row r="1136" spans="1:9" x14ac:dyDescent="0.35">
      <c r="A1136" s="2" t="str">
        <f>CLEAN("WOOD")</f>
        <v>WOOD</v>
      </c>
      <c r="B1136" s="2" t="str">
        <f>CLEAN("CITY OF PITTSVILLE")</f>
        <v>CITY OF PITTSVILLE</v>
      </c>
      <c r="C1136" s="2" t="s">
        <v>1141</v>
      </c>
      <c r="D1136" s="2" t="str">
        <f>CLEAN("1620-02-77")</f>
        <v>1620-02-77</v>
      </c>
      <c r="E1136" s="3" t="str">
        <f>CLEAN("C OF PITTSVILLE")</f>
        <v>C OF PITTSVILLE</v>
      </c>
      <c r="F1136" s="3" t="str">
        <f>CLEAN("POPLAR STREET TO STH 73")</f>
        <v>POPLAR STREET TO STH 73</v>
      </c>
      <c r="G1136" s="3" t="str">
        <f>CLEAN("CONSTR/RESURFACE")</f>
        <v>CONSTR/RESURFACE</v>
      </c>
      <c r="H1136" s="2" t="str">
        <f>CLEAN("STH 080")</f>
        <v>STH 080</v>
      </c>
      <c r="I1136" s="2" t="str">
        <f>CLEAN("303")</f>
        <v>303</v>
      </c>
    </row>
    <row r="1137" spans="1:9" x14ac:dyDescent="0.35">
      <c r="A1137" s="2" t="str">
        <f t="shared" ref="A1137:A1145" si="181">CLEAN("GRANT")</f>
        <v>GRANT</v>
      </c>
      <c r="B1137" s="2" t="str">
        <f t="shared" ref="B1137:B1145" si="182">CLEAN("CITY OF PLATTEVILLE")</f>
        <v>CITY OF PLATTEVILLE</v>
      </c>
      <c r="C1137" s="2" t="s">
        <v>1523</v>
      </c>
      <c r="D1137" s="2" t="str">
        <f>CLEAN("5996-01-02")</f>
        <v>5996-01-02</v>
      </c>
      <c r="E1137" s="3" t="str">
        <f>CLEAN("CITY OF PLATTEVILLE  CAMP STREET")</f>
        <v>CITY OF PLATTEVILLE  CAMP STREET</v>
      </c>
      <c r="F1137" s="3" t="str">
        <f>CLEAN("LANCASTER STREET TO ELM STREET")</f>
        <v>LANCASTER STREET TO ELM STREET</v>
      </c>
      <c r="G1137" s="3" t="str">
        <f>CLEAN("DESIGN - FULL PS&amp;E RECONSTRUCTION")</f>
        <v>DESIGN - FULL PS&amp;E RECONSTRUCTION</v>
      </c>
      <c r="H1137" s="2" t="str">
        <f>CLEAN("LOC STR")</f>
        <v>LOC STR</v>
      </c>
      <c r="I1137" s="2" t="str">
        <f>CLEAN("206")</f>
        <v>206</v>
      </c>
    </row>
    <row r="1138" spans="1:9" x14ac:dyDescent="0.35">
      <c r="A1138" s="2" t="str">
        <f t="shared" si="181"/>
        <v>GRANT</v>
      </c>
      <c r="B1138" s="2" t="str">
        <f t="shared" si="182"/>
        <v>CITY OF PLATTEVILLE</v>
      </c>
      <c r="C1138" s="2" t="s">
        <v>3398</v>
      </c>
      <c r="D1138" s="2" t="str">
        <f>CLEAN("3700-11-61")</f>
        <v>3700-11-61</v>
      </c>
      <c r="E1138" s="3" t="str">
        <f>CLEAN("CITY OF PLATTEVILLE")</f>
        <v>CITY OF PLATTEVILLE</v>
      </c>
      <c r="F1138" s="3" t="str">
        <f>CLEAN("STH 80/WATER ST &amp; STH 81/PINE ST")</f>
        <v>STH 80/WATER ST &amp; STH 81/PINE ST</v>
      </c>
      <c r="G1138" s="3" t="str">
        <f>CLEAN("TRF/ DES SIGNAL RETROFIT /TOSIG")</f>
        <v>TRF/ DES SIGNAL RETROFIT /TOSIG</v>
      </c>
      <c r="H1138" s="2" t="str">
        <f>CLEAN("STH 080")</f>
        <v>STH 080</v>
      </c>
      <c r="I1138" s="2" t="str">
        <f>CLEAN("305")</f>
        <v>305</v>
      </c>
    </row>
    <row r="1139" spans="1:9" x14ac:dyDescent="0.35">
      <c r="A1139" s="2" t="str">
        <f t="shared" si="181"/>
        <v>GRANT</v>
      </c>
      <c r="B1139" s="2" t="str">
        <f t="shared" si="182"/>
        <v>CITY OF PLATTEVILLE</v>
      </c>
      <c r="C1139" s="2" t="s">
        <v>3403</v>
      </c>
      <c r="D1139" s="2" t="str">
        <f>CLEAN("3700-11-62")</f>
        <v>3700-11-62</v>
      </c>
      <c r="E1139" s="3" t="str">
        <f>CLEAN("CITY OF PLATTEVILLE")</f>
        <v>CITY OF PLATTEVILLE</v>
      </c>
      <c r="F1139" s="3" t="str">
        <f>CLEAN("STH 80/WATER ST &amp; STH 81/PINE ST")</f>
        <v>STH 80/WATER ST &amp; STH 81/PINE ST</v>
      </c>
      <c r="G1139" s="3" t="str">
        <f>CLEAN("TRF/ RE TLE SIGNAL RETROFIT /TOSIG")</f>
        <v>TRF/ RE TLE SIGNAL RETROFIT /TOSIG</v>
      </c>
      <c r="H1139" s="2" t="str">
        <f>CLEAN("STH 080")</f>
        <v>STH 080</v>
      </c>
      <c r="I1139" s="2" t="str">
        <f>CLEAN("305")</f>
        <v>305</v>
      </c>
    </row>
    <row r="1140" spans="1:9" x14ac:dyDescent="0.35">
      <c r="A1140" s="2" t="str">
        <f t="shared" si="181"/>
        <v>GRANT</v>
      </c>
      <c r="B1140" s="2" t="str">
        <f t="shared" si="182"/>
        <v>CITY OF PLATTEVILLE</v>
      </c>
      <c r="C1140" s="2" t="s">
        <v>2315</v>
      </c>
      <c r="D1140" s="2" t="str">
        <f>CLEAN("5225-00-07")</f>
        <v>5225-00-07</v>
      </c>
      <c r="E1140" s="3" t="str">
        <f>CLEAN("C PLATTEVILLE  STH 81")</f>
        <v>C PLATTEVILLE  STH 81</v>
      </c>
      <c r="F1140" s="3" t="str">
        <f>CLEAN("RIDGE AVENUE TO BUS 151")</f>
        <v>RIDGE AVENUE TO BUS 151</v>
      </c>
      <c r="G1140" s="3" t="str">
        <f>CLEAN("DESIGN-FULL PS&amp;E RSRF25")</f>
        <v>DESIGN-FULL PS&amp;E RSRF25</v>
      </c>
      <c r="H1140" s="2" t="str">
        <f>CLEAN("STH 081")</f>
        <v>STH 081</v>
      </c>
      <c r="I1140" s="2" t="str">
        <f>CLEAN("303")</f>
        <v>303</v>
      </c>
    </row>
    <row r="1141" spans="1:9" x14ac:dyDescent="0.35">
      <c r="A1141" s="2" t="str">
        <f t="shared" si="181"/>
        <v>GRANT</v>
      </c>
      <c r="B1141" s="2" t="str">
        <f t="shared" si="182"/>
        <v>CITY OF PLATTEVILLE</v>
      </c>
      <c r="C1141" s="2" t="s">
        <v>3029</v>
      </c>
      <c r="D1141" s="2" t="str">
        <f>CLEAN("5996-00-08")</f>
        <v>5996-00-08</v>
      </c>
      <c r="E1141" s="3" t="str">
        <f>CLEAN("C PLATTEVILLE  MOUNDVIEW TRAIL")</f>
        <v>C PLATTEVILLE  MOUNDVIEW TRAIL</v>
      </c>
      <c r="F1141" s="3" t="str">
        <f>CLEAN("ROUNTREE BR TR TO MITCHEL HOLLOW RD")</f>
        <v>ROUNTREE BR TR TO MITCHEL HOLLOW RD</v>
      </c>
      <c r="G1141" s="3" t="str">
        <f>CLEAN("PEDESTRAIN TRAIL")</f>
        <v>PEDESTRAIN TRAIL</v>
      </c>
      <c r="H1141" s="2" t="str">
        <f>CLEAN("NON HWY")</f>
        <v>NON HWY</v>
      </c>
      <c r="I1141" s="2" t="str">
        <f>CLEAN("290")</f>
        <v>290</v>
      </c>
    </row>
    <row r="1142" spans="1:9" x14ac:dyDescent="0.35">
      <c r="A1142" s="2" t="str">
        <f t="shared" si="181"/>
        <v>GRANT</v>
      </c>
      <c r="B1142" s="2" t="str">
        <f t="shared" si="182"/>
        <v>CITY OF PLATTEVILLE</v>
      </c>
      <c r="C1142" s="2" t="s">
        <v>2199</v>
      </c>
      <c r="D1142" s="2" t="str">
        <f>CLEAN("5996-00-12")</f>
        <v>5996-00-12</v>
      </c>
      <c r="E1142" s="3" t="str">
        <f>CLEAN("C PLATTEVILLE  HENRY STREET")</f>
        <v>C PLATTEVILLE  HENRY STREET</v>
      </c>
      <c r="F1142" s="3" t="str">
        <f>CLEAN("JEWETT STREET TO CAMP STREET")</f>
        <v>JEWETT STREET TO CAMP STREET</v>
      </c>
      <c r="G1142" s="3" t="str">
        <f>CLEAN("DESIGN/PLAN CHECK REVIEW/RECST")</f>
        <v>DESIGN/PLAN CHECK REVIEW/RECST</v>
      </c>
      <c r="H1142" s="2" t="str">
        <f>CLEAN("LOC STR")</f>
        <v>LOC STR</v>
      </c>
      <c r="I1142" s="2" t="str">
        <f>CLEAN("206")</f>
        <v>206</v>
      </c>
    </row>
    <row r="1143" spans="1:9" x14ac:dyDescent="0.35">
      <c r="A1143" s="2" t="str">
        <f t="shared" si="181"/>
        <v>GRANT</v>
      </c>
      <c r="B1143" s="2" t="str">
        <f t="shared" si="182"/>
        <v>CITY OF PLATTEVILLE</v>
      </c>
      <c r="C1143" s="2" t="s">
        <v>3039</v>
      </c>
      <c r="D1143" s="2" t="str">
        <f>CLEAN("5996-00-78")</f>
        <v>5996-00-78</v>
      </c>
      <c r="E1143" s="3" t="str">
        <f>CLEAN("C PLATTEVILLE  MOUNDVIEW TRAIL")</f>
        <v>C PLATTEVILLE  MOUNDVIEW TRAIL</v>
      </c>
      <c r="F1143" s="3" t="str">
        <f>CLEAN("ROUNTREE BR TR TO MITCHEL HOLLOW RD")</f>
        <v>ROUNTREE BR TR TO MITCHEL HOLLOW RD</v>
      </c>
      <c r="G1143" s="3" t="str">
        <f>CLEAN("PEDESTRIAN TRAIL")</f>
        <v>PEDESTRIAN TRAIL</v>
      </c>
      <c r="H1143" s="2" t="str">
        <f>CLEAN("NON HWY")</f>
        <v>NON HWY</v>
      </c>
      <c r="I1143" s="2" t="str">
        <f>CLEAN("290")</f>
        <v>290</v>
      </c>
    </row>
    <row r="1144" spans="1:9" x14ac:dyDescent="0.35">
      <c r="A1144" s="2" t="str">
        <f t="shared" si="181"/>
        <v>GRANT</v>
      </c>
      <c r="B1144" s="2" t="str">
        <f t="shared" si="182"/>
        <v>CITY OF PLATTEVILLE</v>
      </c>
      <c r="C1144" s="2" t="s">
        <v>1530</v>
      </c>
      <c r="D1144" s="2" t="str">
        <f>CLEAN("5996-01-00")</f>
        <v>5996-01-00</v>
      </c>
      <c r="E1144" s="3" t="str">
        <f>CLEAN("CITY OF PLATTEVILLE  E MAIN STREET")</f>
        <v>CITY OF PLATTEVILLE  E MAIN STREET</v>
      </c>
      <c r="F1144" s="3" t="str">
        <f>CLEAN("STH 80 TO BROADWAY STREET")</f>
        <v>STH 80 TO BROADWAY STREET</v>
      </c>
      <c r="G1144" s="3" t="str">
        <f>CLEAN("DESIGN - FULL PS&amp;E RECONSTRUCTION")</f>
        <v>DESIGN - FULL PS&amp;E RECONSTRUCTION</v>
      </c>
      <c r="H1144" s="2" t="str">
        <f>CLEAN("LOC STR")</f>
        <v>LOC STR</v>
      </c>
      <c r="I1144" s="2" t="str">
        <f>CLEAN("206")</f>
        <v>206</v>
      </c>
    </row>
    <row r="1145" spans="1:9" x14ac:dyDescent="0.35">
      <c r="A1145" s="2" t="str">
        <f t="shared" si="181"/>
        <v>GRANT</v>
      </c>
      <c r="B1145" s="2" t="str">
        <f t="shared" si="182"/>
        <v>CITY OF PLATTEVILLE</v>
      </c>
      <c r="C1145" s="2" t="s">
        <v>250</v>
      </c>
      <c r="D1145" s="2" t="str">
        <f>CLEAN("5996-01-72")</f>
        <v>5996-01-72</v>
      </c>
      <c r="E1145" s="3" t="str">
        <f>CLEAN("CITY OF PLATTEVILLE  CAMP STREET")</f>
        <v>CITY OF PLATTEVILLE  CAMP STREET</v>
      </c>
      <c r="F1145" s="3" t="str">
        <f>CLEAN("LANCASTER STREET TO ELM STREET")</f>
        <v>LANCASTER STREET TO ELM STREET</v>
      </c>
      <c r="G1145" s="3" t="str">
        <f>CLEAN("CONST OPS/RECONSTRUCTION")</f>
        <v>CONST OPS/RECONSTRUCTION</v>
      </c>
      <c r="H1145" s="2" t="str">
        <f>CLEAN("LOC STR")</f>
        <v>LOC STR</v>
      </c>
      <c r="I1145" s="2" t="str">
        <f>CLEAN("206")</f>
        <v>206</v>
      </c>
    </row>
    <row r="1146" spans="1:9" x14ac:dyDescent="0.35">
      <c r="A1146" s="2" t="str">
        <f>CLEAN("SHEBOYGAN")</f>
        <v>SHEBOYGAN</v>
      </c>
      <c r="B1146" s="2" t="str">
        <f>CLEAN("CITY OF PLYMOUTH")</f>
        <v>CITY OF PLYMOUTH</v>
      </c>
      <c r="C1146" s="2" t="s">
        <v>2431</v>
      </c>
      <c r="D1146" s="2" t="str">
        <f>CLEAN("4550-08-00")</f>
        <v>4550-08-00</v>
      </c>
      <c r="E1146" s="3" t="str">
        <f>CLEAN("C PLYMOUTH  MILWAUKEE STREET")</f>
        <v>C PLYMOUTH  MILWAUKEE STREET</v>
      </c>
      <c r="F1146" s="3" t="str">
        <f>CLEAN("RIVERBEND DRIVE - MILL STREET")</f>
        <v>RIVERBEND DRIVE - MILL STREET</v>
      </c>
      <c r="G1146" s="3" t="str">
        <f>CLEAN("DSGN/FULL PSE/RSRF25")</f>
        <v>DSGN/FULL PSE/RSRF25</v>
      </c>
      <c r="H1146" s="2" t="str">
        <f>CLEAN("STH 067")</f>
        <v>STH 067</v>
      </c>
      <c r="I1146" s="2" t="str">
        <f>CLEAN("303")</f>
        <v>303</v>
      </c>
    </row>
    <row r="1147" spans="1:9" x14ac:dyDescent="0.35">
      <c r="A1147" s="2" t="str">
        <f t="shared" ref="A1147:A1152" si="183">CLEAN("OZAUKEE")</f>
        <v>OZAUKEE</v>
      </c>
      <c r="B1147" s="2" t="str">
        <f t="shared" ref="B1147:B1152" si="184">CLEAN("CITY OF PORT WASHINGTON")</f>
        <v>CITY OF PORT WASHINGTON</v>
      </c>
      <c r="C1147" s="2" t="s">
        <v>2721</v>
      </c>
      <c r="D1147" s="2" t="str">
        <f>CLEAN("4030-03-01")</f>
        <v>4030-03-01</v>
      </c>
      <c r="E1147" s="3" t="str">
        <f>CLEAN("WEST BEND - PORT WASHINGTON")</f>
        <v>WEST BEND - PORT WASHINGTON</v>
      </c>
      <c r="F1147" s="3" t="str">
        <f>CLEAN("JACKSON RD TO SUMMIT DR")</f>
        <v>JACKSON RD TO SUMMIT DR</v>
      </c>
      <c r="G1147" s="3" t="str">
        <f>CLEAN("PE/FULL PS&amp;E ROW/RSRF15")</f>
        <v>PE/FULL PS&amp;E ROW/RSRF15</v>
      </c>
      <c r="H1147" s="2" t="str">
        <f>CLEAN("STH 033")</f>
        <v>STH 033</v>
      </c>
      <c r="I1147" s="2" t="str">
        <f>CLEAN("303")</f>
        <v>303</v>
      </c>
    </row>
    <row r="1148" spans="1:9" x14ac:dyDescent="0.35">
      <c r="A1148" s="2" t="str">
        <f t="shared" si="183"/>
        <v>OZAUKEE</v>
      </c>
      <c r="B1148" s="2" t="str">
        <f t="shared" si="184"/>
        <v>CITY OF PORT WASHINGTON</v>
      </c>
      <c r="C1148" s="2" t="s">
        <v>2999</v>
      </c>
      <c r="D1148" s="2" t="str">
        <f>CLEAN("4822-01-01")</f>
        <v>4822-01-01</v>
      </c>
      <c r="E1148" s="3" t="str">
        <f>CLEAN("HISTORIC LIGHTHOUSE PRESERVATION")</f>
        <v>HISTORIC LIGHTHOUSE PRESERVATION</v>
      </c>
      <c r="F1148" s="3" t="str">
        <f>CLEAN("PORT WASHINGTON NORTH BREAKWATER")</f>
        <v>PORT WASHINGTON NORTH BREAKWATER</v>
      </c>
      <c r="G1148" s="3" t="str">
        <f>CLEAN("PE/STATE REVIEW ONLY")</f>
        <v>PE/STATE REVIEW ONLY</v>
      </c>
      <c r="H1148" s="2" t="str">
        <f>CLEAN("NON HWY")</f>
        <v>NON HWY</v>
      </c>
      <c r="I1148" s="2" t="str">
        <f>CLEAN("290")</f>
        <v>290</v>
      </c>
    </row>
    <row r="1149" spans="1:9" x14ac:dyDescent="0.35">
      <c r="A1149" s="2" t="str">
        <f t="shared" si="183"/>
        <v>OZAUKEE</v>
      </c>
      <c r="B1149" s="2" t="str">
        <f t="shared" si="184"/>
        <v>CITY OF PORT WASHINGTON</v>
      </c>
      <c r="C1149" s="2" t="s">
        <v>12</v>
      </c>
      <c r="D1149" s="2" t="str">
        <f>CLEAN("4822-05-02")</f>
        <v>4822-05-02</v>
      </c>
      <c r="E1149" s="3" t="str">
        <f>CLEAN("BICYCLE PEDESTRIAN PLANNING STUDY")</f>
        <v>BICYCLE PEDESTRIAN PLANNING STUDY</v>
      </c>
      <c r="F1149" s="3" t="str">
        <f>CLEAN("CITYWIDE")</f>
        <v>CITYWIDE</v>
      </c>
      <c r="G1149" s="3" t="str">
        <f>CLEAN("BIKE PED PLAN UPDATES")</f>
        <v>BIKE PED PLAN UPDATES</v>
      </c>
      <c r="H1149" s="2" t="str">
        <f>CLEAN("NON HWY")</f>
        <v>NON HWY</v>
      </c>
      <c r="I1149" s="2" t="str">
        <f>CLEAN("290")</f>
        <v>290</v>
      </c>
    </row>
    <row r="1150" spans="1:9" x14ac:dyDescent="0.35">
      <c r="A1150" s="2" t="str">
        <f t="shared" si="183"/>
        <v>OZAUKEE</v>
      </c>
      <c r="B1150" s="2" t="str">
        <f t="shared" si="184"/>
        <v>CITY OF PORT WASHINGTON</v>
      </c>
      <c r="C1150" s="2" t="s">
        <v>3007</v>
      </c>
      <c r="D1150" s="2" t="str">
        <f>CLEAN("4822-05-03")</f>
        <v>4822-05-03</v>
      </c>
      <c r="E1150" s="3" t="str">
        <f>CLEAN("C PT WASHINGTON  LIGHTNG CONVERSION")</f>
        <v>C PT WASHINGTON  LIGHTNG CONVERSION</v>
      </c>
      <c r="F1150" s="3" t="str">
        <f>CLEAN("VARIOUS LOCATIONS-DOWNTOWN AREA")</f>
        <v>VARIOUS LOCATIONS-DOWNTOWN AREA</v>
      </c>
      <c r="G1150" s="3" t="str">
        <f>CLEAN("PE/STATE REVIEW ONLY")</f>
        <v>PE/STATE REVIEW ONLY</v>
      </c>
      <c r="H1150" s="2" t="str">
        <f>CLEAN("VAR HWY")</f>
        <v>VAR HWY</v>
      </c>
      <c r="I1150" s="2" t="str">
        <f>CLEAN("206")</f>
        <v>206</v>
      </c>
    </row>
    <row r="1151" spans="1:9" x14ac:dyDescent="0.35">
      <c r="A1151" s="2" t="str">
        <f t="shared" si="183"/>
        <v>OZAUKEE</v>
      </c>
      <c r="B1151" s="2" t="str">
        <f t="shared" si="184"/>
        <v>CITY OF PORT WASHINGTON</v>
      </c>
      <c r="C1151" s="2" t="s">
        <v>1014</v>
      </c>
      <c r="D1151" s="2" t="str">
        <f>CLEAN("4030-03-71")</f>
        <v>4030-03-71</v>
      </c>
      <c r="E1151" s="3" t="str">
        <f>CLEAN("WEST BEND - PORT WASHINGTON")</f>
        <v>WEST BEND - PORT WASHINGTON</v>
      </c>
      <c r="F1151" s="3" t="str">
        <f>CLEAN("JACKSON RD TO SUMMIT DR")</f>
        <v>JACKSON RD TO SUMMIT DR</v>
      </c>
      <c r="G1151" s="3" t="str">
        <f>CLEAN("CONST/RSRF15")</f>
        <v>CONST/RSRF15</v>
      </c>
      <c r="H1151" s="2" t="str">
        <f>CLEAN("STH 033")</f>
        <v>STH 033</v>
      </c>
      <c r="I1151" s="2" t="str">
        <f>CLEAN("303")</f>
        <v>303</v>
      </c>
    </row>
    <row r="1152" spans="1:9" x14ac:dyDescent="0.35">
      <c r="A1152" s="2" t="str">
        <f t="shared" si="183"/>
        <v>OZAUKEE</v>
      </c>
      <c r="B1152" s="2" t="str">
        <f t="shared" si="184"/>
        <v>CITY OF PORT WASHINGTON</v>
      </c>
      <c r="C1152" s="2" t="s">
        <v>559</v>
      </c>
      <c r="D1152" s="2" t="str">
        <f>CLEAN("4822-01-71")</f>
        <v>4822-01-71</v>
      </c>
      <c r="E1152" s="3" t="str">
        <f>CLEAN("HISTORIC LIGHTHOUSE PRESERVATION")</f>
        <v>HISTORIC LIGHTHOUSE PRESERVATION</v>
      </c>
      <c r="F1152" s="3" t="str">
        <f>CLEAN("PORT WASHINGTON NORTH BREAKWATER")</f>
        <v>PORT WASHINGTON NORTH BREAKWATER</v>
      </c>
      <c r="G1152" s="3" t="str">
        <f>CLEAN("CONST/HISTORIC PRESERVAITON")</f>
        <v>CONST/HISTORIC PRESERVAITON</v>
      </c>
      <c r="H1152" s="2" t="str">
        <f>CLEAN("NON HWY")</f>
        <v>NON HWY</v>
      </c>
      <c r="I1152" s="2" t="str">
        <f>CLEAN("290")</f>
        <v>290</v>
      </c>
    </row>
    <row r="1153" spans="1:9" x14ac:dyDescent="0.35">
      <c r="A1153" s="2" t="str">
        <f t="shared" ref="A1153:A1165" si="185">CLEAN("COLUMBIA")</f>
        <v>COLUMBIA</v>
      </c>
      <c r="B1153" s="2" t="str">
        <f t="shared" ref="B1153:B1165" si="186">CLEAN("CITY OF PORTAGE")</f>
        <v>CITY OF PORTAGE</v>
      </c>
      <c r="C1153" s="2" t="s">
        <v>38</v>
      </c>
      <c r="D1153" s="2" t="str">
        <f>CLEAN("6996-05-28")</f>
        <v>6996-05-28</v>
      </c>
      <c r="E1153" s="3" t="str">
        <f>CLEAN("CITY OF PORTAGE  PORTAGE CANAL")</f>
        <v>CITY OF PORTAGE  PORTAGE CANAL</v>
      </c>
      <c r="F1153" s="3" t="str">
        <f>CLEAN("ADAMS STREET TO CP RAILWAY BRIDGE")</f>
        <v>ADAMS STREET TO CP RAILWAY BRIDGE</v>
      </c>
      <c r="G1153" s="3" t="str">
        <f>CLEAN("CONST - BIKE/PED PATH &amp; REHAB CANAL")</f>
        <v>CONST - BIKE/PED PATH &amp; REHAB CANAL</v>
      </c>
      <c r="H1153" s="2" t="str">
        <f>CLEAN("NON HWY")</f>
        <v>NON HWY</v>
      </c>
      <c r="I1153" s="2" t="str">
        <f>CLEAN("290")</f>
        <v>290</v>
      </c>
    </row>
    <row r="1154" spans="1:9" x14ac:dyDescent="0.35">
      <c r="A1154" s="2" t="str">
        <f t="shared" si="185"/>
        <v>COLUMBIA</v>
      </c>
      <c r="B1154" s="2" t="str">
        <f t="shared" si="186"/>
        <v>CITY OF PORTAGE</v>
      </c>
      <c r="C1154" s="2" t="s">
        <v>2313</v>
      </c>
      <c r="D1154" s="2" t="str">
        <f>CLEAN("1400-01-04")</f>
        <v>1400-01-04</v>
      </c>
      <c r="E1154" s="3" t="str">
        <f>CLEAN("C PORTAGE  WISCONSIN STREET")</f>
        <v>C PORTAGE  WISCONSIN STREET</v>
      </c>
      <c r="F1154" s="3" t="str">
        <f>CLEAN("PLEASANT STREET TO DEWITT STREET")</f>
        <v>PLEASANT STREET TO DEWITT STREET</v>
      </c>
      <c r="G1154" s="3" t="str">
        <f>CLEAN("DESIGN-FULL PS&amp;E RSRF20")</f>
        <v>DESIGN-FULL PS&amp;E RSRF20</v>
      </c>
      <c r="H1154" s="2" t="str">
        <f t="shared" ref="H1154:H1162" si="187">CLEAN("USH 051")</f>
        <v>USH 051</v>
      </c>
      <c r="I1154" s="2" t="str">
        <f>CLEAN("303")</f>
        <v>303</v>
      </c>
    </row>
    <row r="1155" spans="1:9" x14ac:dyDescent="0.35">
      <c r="A1155" s="2" t="str">
        <f t="shared" si="185"/>
        <v>COLUMBIA</v>
      </c>
      <c r="B1155" s="2" t="str">
        <f t="shared" si="186"/>
        <v>CITY OF PORTAGE</v>
      </c>
      <c r="C1155" s="2" t="s">
        <v>338</v>
      </c>
      <c r="D1155" s="2" t="str">
        <f>CLEAN("1400-01-74")</f>
        <v>1400-01-74</v>
      </c>
      <c r="E1155" s="3" t="str">
        <f>CLEAN("C PORTAGE  WISCONSIN STREET")</f>
        <v>C PORTAGE  WISCONSIN STREET</v>
      </c>
      <c r="F1155" s="3" t="str">
        <f>CLEAN("PLEASANT STREET TO DEWITT STREET")</f>
        <v>PLEASANT STREET TO DEWITT STREET</v>
      </c>
      <c r="G1155" s="3" t="str">
        <f>CLEAN("CONST/ MILL AND OVERLAY")</f>
        <v>CONST/ MILL AND OVERLAY</v>
      </c>
      <c r="H1155" s="2" t="str">
        <f t="shared" si="187"/>
        <v>USH 051</v>
      </c>
      <c r="I1155" s="2" t="str">
        <f>CLEAN("303")</f>
        <v>303</v>
      </c>
    </row>
    <row r="1156" spans="1:9" x14ac:dyDescent="0.35">
      <c r="A1156" s="2" t="str">
        <f t="shared" si="185"/>
        <v>COLUMBIA</v>
      </c>
      <c r="B1156" s="2" t="str">
        <f t="shared" si="186"/>
        <v>CITY OF PORTAGE</v>
      </c>
      <c r="C1156" s="2" t="s">
        <v>3399</v>
      </c>
      <c r="D1156" s="2" t="str">
        <f>CLEAN("3700-10-62")</f>
        <v>3700-10-62</v>
      </c>
      <c r="E1156" s="3" t="str">
        <f t="shared" ref="E1156:E1162" si="188">CLEAN("CITY OF PORTAGE")</f>
        <v>CITY OF PORTAGE</v>
      </c>
      <c r="F1156" s="3" t="str">
        <f>CLEAN("USH 51 &amp; COLLINS ST")</f>
        <v>USH 51 &amp; COLLINS ST</v>
      </c>
      <c r="G1156" s="3" t="str">
        <f>CLEAN("TRF/ DES SIGNAL RETROFIT /TOSIG")</f>
        <v>TRF/ DES SIGNAL RETROFIT /TOSIG</v>
      </c>
      <c r="H1156" s="2" t="str">
        <f t="shared" si="187"/>
        <v>USH 051</v>
      </c>
      <c r="I1156" s="2" t="str">
        <f t="shared" ref="I1156:I1162" si="189">CLEAN("305")</f>
        <v>305</v>
      </c>
    </row>
    <row r="1157" spans="1:9" x14ac:dyDescent="0.35">
      <c r="A1157" s="2" t="str">
        <f t="shared" si="185"/>
        <v>COLUMBIA</v>
      </c>
      <c r="B1157" s="2" t="str">
        <f t="shared" si="186"/>
        <v>CITY OF PORTAGE</v>
      </c>
      <c r="C1157" s="2" t="s">
        <v>3405</v>
      </c>
      <c r="D1157" s="2" t="str">
        <f>CLEAN("3700-10-63")</f>
        <v>3700-10-63</v>
      </c>
      <c r="E1157" s="3" t="str">
        <f t="shared" si="188"/>
        <v>CITY OF PORTAGE</v>
      </c>
      <c r="F1157" s="3" t="str">
        <f>CLEAN("USH 51 &amp; COLLINS ST")</f>
        <v>USH 51 &amp; COLLINS ST</v>
      </c>
      <c r="G1157" s="3" t="str">
        <f>CLEAN("TRF/CONST SIGNAL RETROFIT/TOSIG")</f>
        <v>TRF/CONST SIGNAL RETROFIT/TOSIG</v>
      </c>
      <c r="H1157" s="2" t="str">
        <f t="shared" si="187"/>
        <v>USH 051</v>
      </c>
      <c r="I1157" s="2" t="str">
        <f t="shared" si="189"/>
        <v>305</v>
      </c>
    </row>
    <row r="1158" spans="1:9" x14ac:dyDescent="0.35">
      <c r="A1158" s="2" t="str">
        <f t="shared" si="185"/>
        <v>COLUMBIA</v>
      </c>
      <c r="B1158" s="2" t="str">
        <f t="shared" si="186"/>
        <v>CITY OF PORTAGE</v>
      </c>
      <c r="C1158" s="2" t="s">
        <v>3400</v>
      </c>
      <c r="D1158" s="2" t="str">
        <f>CLEAN("3700-11-71")</f>
        <v>3700-11-71</v>
      </c>
      <c r="E1158" s="3" t="str">
        <f t="shared" si="188"/>
        <v>CITY OF PORTAGE</v>
      </c>
      <c r="F1158" s="3" t="str">
        <f>CLEAN("USH 51 &amp; SLIFER ST")</f>
        <v>USH 51 &amp; SLIFER ST</v>
      </c>
      <c r="G1158" s="3" t="str">
        <f>CLEAN("TRF/ DES SIGNAL RETROFIT /TOSIG")</f>
        <v>TRF/ DES SIGNAL RETROFIT /TOSIG</v>
      </c>
      <c r="H1158" s="2" t="str">
        <f t="shared" si="187"/>
        <v>USH 051</v>
      </c>
      <c r="I1158" s="2" t="str">
        <f t="shared" si="189"/>
        <v>305</v>
      </c>
    </row>
    <row r="1159" spans="1:9" x14ac:dyDescent="0.35">
      <c r="A1159" s="2" t="str">
        <f t="shared" si="185"/>
        <v>COLUMBIA</v>
      </c>
      <c r="B1159" s="2" t="str">
        <f t="shared" si="186"/>
        <v>CITY OF PORTAGE</v>
      </c>
      <c r="C1159" s="2" t="s">
        <v>3391</v>
      </c>
      <c r="D1159" s="2" t="str">
        <f>CLEAN("3700-11-72")</f>
        <v>3700-11-72</v>
      </c>
      <c r="E1159" s="3" t="str">
        <f t="shared" si="188"/>
        <v>CITY OF PORTAGE</v>
      </c>
      <c r="F1159" s="3" t="str">
        <f>CLEAN("USH 51 &amp; SLIFER ST")</f>
        <v>USH 51 &amp; SLIFER ST</v>
      </c>
      <c r="G1159" s="3" t="str">
        <f>CLEAN("TRF/ CONST SIGNAL RETROFIT /TOSIG")</f>
        <v>TRF/ CONST SIGNAL RETROFIT /TOSIG</v>
      </c>
      <c r="H1159" s="2" t="str">
        <f t="shared" si="187"/>
        <v>USH 051</v>
      </c>
      <c r="I1159" s="2" t="str">
        <f t="shared" si="189"/>
        <v>305</v>
      </c>
    </row>
    <row r="1160" spans="1:9" x14ac:dyDescent="0.35">
      <c r="A1160" s="2" t="str">
        <f t="shared" si="185"/>
        <v>COLUMBIA</v>
      </c>
      <c r="B1160" s="2" t="str">
        <f t="shared" si="186"/>
        <v>CITY OF PORTAGE</v>
      </c>
      <c r="C1160" s="2" t="s">
        <v>3397</v>
      </c>
      <c r="D1160" s="2" t="str">
        <f>CLEAN("3700-11-75")</f>
        <v>3700-11-75</v>
      </c>
      <c r="E1160" s="3" t="str">
        <f t="shared" si="188"/>
        <v>CITY OF PORTAGE</v>
      </c>
      <c r="F1160" s="3" t="str">
        <f>CLEAN("HAERTEL ST/ WIS ST/ MACFARLANE RD")</f>
        <v>HAERTEL ST/ WIS ST/ MACFARLANE RD</v>
      </c>
      <c r="G1160" s="3" t="str">
        <f>CLEAN("TRF/ DES SIGNAL RETROFIT /TOSIG")</f>
        <v>TRF/ DES SIGNAL RETROFIT /TOSIG</v>
      </c>
      <c r="H1160" s="2" t="str">
        <f t="shared" si="187"/>
        <v>USH 051</v>
      </c>
      <c r="I1160" s="2" t="str">
        <f t="shared" si="189"/>
        <v>305</v>
      </c>
    </row>
    <row r="1161" spans="1:9" x14ac:dyDescent="0.35">
      <c r="A1161" s="2" t="str">
        <f t="shared" si="185"/>
        <v>COLUMBIA</v>
      </c>
      <c r="B1161" s="2" t="str">
        <f t="shared" si="186"/>
        <v>CITY OF PORTAGE</v>
      </c>
      <c r="C1161" s="2" t="s">
        <v>3390</v>
      </c>
      <c r="D1161" s="2" t="str">
        <f>CLEAN("3700-11-76")</f>
        <v>3700-11-76</v>
      </c>
      <c r="E1161" s="3" t="str">
        <f t="shared" si="188"/>
        <v>CITY OF PORTAGE</v>
      </c>
      <c r="F1161" s="3" t="str">
        <f>CLEAN("HAERTEL ST/ WIS ST/ MACFARLANE RD")</f>
        <v>HAERTEL ST/ WIS ST/ MACFARLANE RD</v>
      </c>
      <c r="G1161" s="3" t="str">
        <f>CLEAN("TRF/ CONST SIGNAL RETROFIT /TOSIG")</f>
        <v>TRF/ CONST SIGNAL RETROFIT /TOSIG</v>
      </c>
      <c r="H1161" s="2" t="str">
        <f t="shared" si="187"/>
        <v>USH 051</v>
      </c>
      <c r="I1161" s="2" t="str">
        <f t="shared" si="189"/>
        <v>305</v>
      </c>
    </row>
    <row r="1162" spans="1:9" x14ac:dyDescent="0.35">
      <c r="A1162" s="2" t="str">
        <f t="shared" si="185"/>
        <v>COLUMBIA</v>
      </c>
      <c r="B1162" s="2" t="str">
        <f t="shared" si="186"/>
        <v>CITY OF PORTAGE</v>
      </c>
      <c r="C1162" s="2" t="s">
        <v>3396</v>
      </c>
      <c r="D1162" s="2" t="str">
        <f>CLEAN("3700-11-77")</f>
        <v>3700-11-77</v>
      </c>
      <c r="E1162" s="3" t="str">
        <f t="shared" si="188"/>
        <v>CITY OF PORTAGE</v>
      </c>
      <c r="F1162" s="3" t="str">
        <f>CLEAN("DEWITT ST/COOK STREETS/WISC ST")</f>
        <v>DEWITT ST/COOK STREETS/WISC ST</v>
      </c>
      <c r="G1162" s="3" t="str">
        <f>CLEAN("TRF/ DES SIGNAL RETROFIT /TOSIG")</f>
        <v>TRF/ DES SIGNAL RETROFIT /TOSIG</v>
      </c>
      <c r="H1162" s="2" t="str">
        <f t="shared" si="187"/>
        <v>USH 051</v>
      </c>
      <c r="I1162" s="2" t="str">
        <f t="shared" si="189"/>
        <v>305</v>
      </c>
    </row>
    <row r="1163" spans="1:9" x14ac:dyDescent="0.35">
      <c r="A1163" s="2" t="str">
        <f t="shared" si="185"/>
        <v>COLUMBIA</v>
      </c>
      <c r="B1163" s="2" t="str">
        <f t="shared" si="186"/>
        <v>CITY OF PORTAGE</v>
      </c>
      <c r="C1163" s="2" t="s">
        <v>2319</v>
      </c>
      <c r="D1163" s="2" t="str">
        <f>CLEAN("6040-00-06")</f>
        <v>6040-00-06</v>
      </c>
      <c r="E1163" s="3" t="str">
        <f>CLEAN("C PORTAGE  COOK STREET")</f>
        <v>C PORTAGE  COOK STREET</v>
      </c>
      <c r="F1163" s="3" t="str">
        <f>CLEAN("WISCONSIN RIVER TO STH 16")</f>
        <v>WISCONSIN RIVER TO STH 16</v>
      </c>
      <c r="G1163" s="3" t="str">
        <f>CLEAN("DESIGN-FULL PS&amp;E/ PVRPLA")</f>
        <v>DESIGN-FULL PS&amp;E/ PVRPLA</v>
      </c>
      <c r="H1163" s="2" t="str">
        <f>CLEAN("STH 033")</f>
        <v>STH 033</v>
      </c>
      <c r="I1163" s="2" t="str">
        <f>CLEAN("303")</f>
        <v>303</v>
      </c>
    </row>
    <row r="1164" spans="1:9" x14ac:dyDescent="0.35">
      <c r="A1164" s="2" t="str">
        <f t="shared" si="185"/>
        <v>COLUMBIA</v>
      </c>
      <c r="B1164" s="2" t="str">
        <f t="shared" si="186"/>
        <v>CITY OF PORTAGE</v>
      </c>
      <c r="C1164" s="2" t="s">
        <v>1154</v>
      </c>
      <c r="D1164" s="2" t="str">
        <f>CLEAN("6040-00-76")</f>
        <v>6040-00-76</v>
      </c>
      <c r="E1164" s="3" t="str">
        <f>CLEAN("C PORTAGE  COOK STREET")</f>
        <v>C PORTAGE  COOK STREET</v>
      </c>
      <c r="F1164" s="3" t="str">
        <f>CLEAN("WISCONSIN RIVER TO STH 16")</f>
        <v>WISCONSIN RIVER TO STH 16</v>
      </c>
      <c r="G1164" s="3" t="str">
        <f>CLEAN("CONSTRUCTION/ PVRPLA")</f>
        <v>CONSTRUCTION/ PVRPLA</v>
      </c>
      <c r="H1164" s="2" t="str">
        <f>CLEAN("STH 033")</f>
        <v>STH 033</v>
      </c>
      <c r="I1164" s="2" t="str">
        <f>CLEAN("303")</f>
        <v>303</v>
      </c>
    </row>
    <row r="1165" spans="1:9" x14ac:dyDescent="0.35">
      <c r="A1165" s="2" t="str">
        <f t="shared" si="185"/>
        <v>COLUMBIA</v>
      </c>
      <c r="B1165" s="2" t="str">
        <f t="shared" si="186"/>
        <v>CITY OF PORTAGE</v>
      </c>
      <c r="C1165" s="2" t="s">
        <v>2309</v>
      </c>
      <c r="D1165" s="2" t="str">
        <f>CLEAN("6040-05-00")</f>
        <v>6040-05-00</v>
      </c>
      <c r="E1165" s="3" t="str">
        <f>CLEAN("C PORTAGE  COOK STREET")</f>
        <v>C PORTAGE  COOK STREET</v>
      </c>
      <c r="F1165" s="3" t="str">
        <f>CLEAN("STH 16 TO 0.13 MI E OF JACKSON ST")</f>
        <v>STH 16 TO 0.13 MI E OF JACKSON ST</v>
      </c>
      <c r="G1165" s="3" t="str">
        <f>CLEAN("DESIGN-FULL PS&amp;E PVRPLA")</f>
        <v>DESIGN-FULL PS&amp;E PVRPLA</v>
      </c>
      <c r="H1165" s="2" t="str">
        <f>CLEAN("STH 033")</f>
        <v>STH 033</v>
      </c>
      <c r="I1165" s="2" t="str">
        <f>CLEAN("303")</f>
        <v>303</v>
      </c>
    </row>
    <row r="1166" spans="1:9" x14ac:dyDescent="0.35">
      <c r="A1166" s="2" t="str">
        <f t="shared" ref="A1166:A1171" si="190">CLEAN("CRAWFORD")</f>
        <v>CRAWFORD</v>
      </c>
      <c r="B1166" s="2" t="str">
        <f t="shared" ref="B1166:B1171" si="191">CLEAN("CITY OF PRAIRIE DU CHIEN")</f>
        <v>CITY OF PRAIRIE DU CHIEN</v>
      </c>
      <c r="C1166" s="2" t="s">
        <v>842</v>
      </c>
      <c r="D1166" s="2" t="str">
        <f>CLEAN("1660-02-73")</f>
        <v>1660-02-73</v>
      </c>
      <c r="E1166" s="3" t="str">
        <f>CLEAN("MARQUETTE - PRAIRIE DU CHIEN")</f>
        <v>MARQUETTE - PRAIRIE DU CHIEN</v>
      </c>
      <c r="F1166" s="3" t="str">
        <f>CLEAN("MAIN STREET INTERSECTION")</f>
        <v>MAIN STREET INTERSECTION</v>
      </c>
      <c r="G1166" s="3" t="str">
        <f>CLEAN("CONST/RECST/RAB")</f>
        <v>CONST/RECST/RAB</v>
      </c>
      <c r="H1166" s="2" t="str">
        <f>CLEAN("USH 018")</f>
        <v>USH 018</v>
      </c>
      <c r="I1166" s="2" t="str">
        <f>CLEAN("303")</f>
        <v>303</v>
      </c>
    </row>
    <row r="1167" spans="1:9" x14ac:dyDescent="0.35">
      <c r="A1167" s="2" t="str">
        <f t="shared" si="190"/>
        <v>CRAWFORD</v>
      </c>
      <c r="B1167" s="2" t="str">
        <f t="shared" si="191"/>
        <v>CITY OF PRAIRIE DU CHIEN</v>
      </c>
      <c r="C1167" s="2" t="s">
        <v>1096</v>
      </c>
      <c r="D1167" s="2" t="str">
        <f>CLEAN("1660-02-75")</f>
        <v>1660-02-75</v>
      </c>
      <c r="E1167" s="3" t="str">
        <f>CLEAN("MARQUETTE - PRAIRIE DU CHIEN")</f>
        <v>MARQUETTE - PRAIRIE DU CHIEN</v>
      </c>
      <c r="F1167" s="3" t="str">
        <f>CLEAN("MAIN STREET INTERSECTION")</f>
        <v>MAIN STREET INTERSECTION</v>
      </c>
      <c r="G1167" s="3" t="str">
        <f>CLEAN("CONST/WATER &amp; SANITARY SEWER/RECST")</f>
        <v>CONST/WATER &amp; SANITARY SEWER/RECST</v>
      </c>
      <c r="H1167" s="2" t="str">
        <f>CLEAN("USH 018")</f>
        <v>USH 018</v>
      </c>
      <c r="I1167" s="2" t="str">
        <f>CLEAN("303")</f>
        <v>303</v>
      </c>
    </row>
    <row r="1168" spans="1:9" x14ac:dyDescent="0.35">
      <c r="A1168" s="2" t="str">
        <f t="shared" si="190"/>
        <v>CRAWFORD</v>
      </c>
      <c r="B1168" s="2" t="str">
        <f t="shared" si="191"/>
        <v>CITY OF PRAIRIE DU CHIEN</v>
      </c>
      <c r="C1168" s="2" t="s">
        <v>2197</v>
      </c>
      <c r="D1168" s="2" t="str">
        <f>CLEAN("5319-00-00")</f>
        <v>5319-00-00</v>
      </c>
      <c r="E1168" s="3" t="str">
        <f>CLEAN("C PRAIRIE DU CHIEN  VINEYARD ROAD")</f>
        <v>C PRAIRIE DU CHIEN  VINEYARD ROAD</v>
      </c>
      <c r="F1168" s="3" t="str">
        <f>CLEAN("HILLVIEW DRIVE TO HOFFLAND LANE")</f>
        <v>HILLVIEW DRIVE TO HOFFLAND LANE</v>
      </c>
      <c r="G1168" s="3" t="str">
        <f>CLEAN("DESIGN/PLAN CHECK REVIEW/RECST")</f>
        <v>DESIGN/PLAN CHECK REVIEW/RECST</v>
      </c>
      <c r="H1168" s="2" t="str">
        <f>CLEAN("LOC STR")</f>
        <v>LOC STR</v>
      </c>
      <c r="I1168" s="2" t="str">
        <f>CLEAN("206")</f>
        <v>206</v>
      </c>
    </row>
    <row r="1169" spans="1:9" x14ac:dyDescent="0.35">
      <c r="A1169" s="2" t="str">
        <f t="shared" si="190"/>
        <v>CRAWFORD</v>
      </c>
      <c r="B1169" s="2" t="str">
        <f t="shared" si="191"/>
        <v>CITY OF PRAIRIE DU CHIEN</v>
      </c>
      <c r="C1169" s="2" t="s">
        <v>245</v>
      </c>
      <c r="D1169" s="2" t="str">
        <f>CLEAN("5319-00-70")</f>
        <v>5319-00-70</v>
      </c>
      <c r="E1169" s="3" t="str">
        <f>CLEAN("C PRAIRIE DU CHIEN  VINEYARD ROAD")</f>
        <v>C PRAIRIE DU CHIEN  VINEYARD ROAD</v>
      </c>
      <c r="F1169" s="3" t="str">
        <f>CLEAN("HILLVIEW DRIVE TO HOFFLAND LANE")</f>
        <v>HILLVIEW DRIVE TO HOFFLAND LANE</v>
      </c>
      <c r="G1169" s="3" t="str">
        <f>CLEAN("CONST OPS/RECONSTRUCTION")</f>
        <v>CONST OPS/RECONSTRUCTION</v>
      </c>
      <c r="H1169" s="2" t="str">
        <f>CLEAN("LOC STR")</f>
        <v>LOC STR</v>
      </c>
      <c r="I1169" s="2" t="str">
        <f>CLEAN("206")</f>
        <v>206</v>
      </c>
    </row>
    <row r="1170" spans="1:9" x14ac:dyDescent="0.35">
      <c r="A1170" s="2" t="str">
        <f t="shared" si="190"/>
        <v>CRAWFORD</v>
      </c>
      <c r="B1170" s="2" t="str">
        <f t="shared" si="191"/>
        <v>CITY OF PRAIRIE DU CHIEN</v>
      </c>
      <c r="C1170" s="2" t="s">
        <v>2246</v>
      </c>
      <c r="D1170" s="2" t="str">
        <f>CLEAN("5997-00-40")</f>
        <v>5997-00-40</v>
      </c>
      <c r="E1170" s="3" t="str">
        <f>CLEAN("C PRAIRIE DU CHIEN  VILLA LOUIS RD")</f>
        <v>C PRAIRIE DU CHIEN  VILLA LOUIS RD</v>
      </c>
      <c r="F1170" s="3" t="str">
        <f>CLEAN("BLACKHAWK AVENUE TO TERMINI")</f>
        <v>BLACKHAWK AVENUE TO TERMINI</v>
      </c>
      <c r="G1170" s="3" t="str">
        <f>CLEAN("DESIGN/RECONSTRUCT")</f>
        <v>DESIGN/RECONSTRUCT</v>
      </c>
      <c r="H1170" s="2" t="str">
        <f>CLEAN("LOC STR")</f>
        <v>LOC STR</v>
      </c>
      <c r="I1170" s="2" t="str">
        <f>CLEAN("206")</f>
        <v>206</v>
      </c>
    </row>
    <row r="1171" spans="1:9" x14ac:dyDescent="0.35">
      <c r="A1171" s="2" t="str">
        <f t="shared" si="190"/>
        <v>CRAWFORD</v>
      </c>
      <c r="B1171" s="2" t="str">
        <f t="shared" si="191"/>
        <v>CITY OF PRAIRIE DU CHIEN</v>
      </c>
      <c r="C1171" s="2" t="s">
        <v>226</v>
      </c>
      <c r="D1171" s="2" t="str">
        <f>CLEAN("5997-00-41")</f>
        <v>5997-00-41</v>
      </c>
      <c r="E1171" s="3" t="str">
        <f>CLEAN("C PRAIRIE DU CHIEN  VILLA LOUIS RD")</f>
        <v>C PRAIRIE DU CHIEN  VILLA LOUIS RD</v>
      </c>
      <c r="F1171" s="3" t="str">
        <f>CLEAN("BLACKHAWK AVENUE TO TERMINI")</f>
        <v>BLACKHAWK AVENUE TO TERMINI</v>
      </c>
      <c r="G1171" s="3" t="str">
        <f>CLEAN("CONST OPS/RECONSTRUCT")</f>
        <v>CONST OPS/RECONSTRUCT</v>
      </c>
      <c r="H1171" s="2" t="str">
        <f>CLEAN("LOC STR")</f>
        <v>LOC STR</v>
      </c>
      <c r="I1171" s="2" t="str">
        <f>CLEAN("206")</f>
        <v>206</v>
      </c>
    </row>
    <row r="1172" spans="1:9" x14ac:dyDescent="0.35">
      <c r="A1172" s="2" t="str">
        <f>CLEAN("PIERCE")</f>
        <v>PIERCE</v>
      </c>
      <c r="B1172" s="2" t="str">
        <f>CLEAN("CITY OF PRESCOTT")</f>
        <v>CITY OF PRESCOTT</v>
      </c>
      <c r="C1172" s="2" t="s">
        <v>3169</v>
      </c>
      <c r="D1172" s="2" t="str">
        <f>CLEAN("1530-00-24")</f>
        <v>1530-00-24</v>
      </c>
      <c r="E1172" s="3" t="str">
        <f>CLEAN("PRESCOTT - ELLSWORTH")</f>
        <v>PRESCOTT - ELLSWORTH</v>
      </c>
      <c r="F1172" s="3" t="str">
        <f>CLEAN("MN/WI ST LN TO 1700FT E OF STH 29")</f>
        <v>MN/WI ST LN TO 1700FT E OF STH 29</v>
      </c>
      <c r="G1172" s="3" t="str">
        <f>CLEAN("REAL ESTATE ACQUISITION/1530-00-80")</f>
        <v>REAL ESTATE ACQUISITION/1530-00-80</v>
      </c>
      <c r="H1172" s="2" t="str">
        <f>CLEAN("USH 010")</f>
        <v>USH 010</v>
      </c>
      <c r="I1172" s="2" t="str">
        <f>CLEAN("303")</f>
        <v>303</v>
      </c>
    </row>
    <row r="1173" spans="1:9" x14ac:dyDescent="0.35">
      <c r="A1173" s="2" t="str">
        <f>CLEAN("PIERCE")</f>
        <v>PIERCE</v>
      </c>
      <c r="B1173" s="2" t="str">
        <f>CLEAN("CITY OF PRESCOTT")</f>
        <v>CITY OF PRESCOTT</v>
      </c>
      <c r="C1173" s="2" t="s">
        <v>3168</v>
      </c>
      <c r="D1173" s="2" t="str">
        <f>CLEAN("7180-00-20")</f>
        <v>7180-00-20</v>
      </c>
      <c r="E1173" s="3" t="str">
        <f>CLEAN("HAGER CITY - PRESCOTT")</f>
        <v>HAGER CITY - PRESCOTT</v>
      </c>
      <c r="F1173" s="3" t="str">
        <f>CLEAN("WACOTA ST TO USH 10")</f>
        <v>WACOTA ST TO USH 10</v>
      </c>
      <c r="G1173" s="3" t="str">
        <f>CLEAN("REAL ESTATE ACQUISITION")</f>
        <v>REAL ESTATE ACQUISITION</v>
      </c>
      <c r="H1173" s="2" t="str">
        <f>CLEAN("STH 035")</f>
        <v>STH 035</v>
      </c>
      <c r="I1173" s="2" t="str">
        <f>CLEAN("303")</f>
        <v>303</v>
      </c>
    </row>
    <row r="1174" spans="1:9" x14ac:dyDescent="0.35">
      <c r="A1174" s="2" t="str">
        <f>CLEAN("PIERCE")</f>
        <v>PIERCE</v>
      </c>
      <c r="B1174" s="2" t="str">
        <f>CLEAN("CITY OF PRESCOTT")</f>
        <v>CITY OF PRESCOTT</v>
      </c>
      <c r="C1174" s="2" t="s">
        <v>3084</v>
      </c>
      <c r="D1174" s="2" t="str">
        <f>CLEAN("7888-00-04")</f>
        <v>7888-00-04</v>
      </c>
      <c r="E1174" s="3" t="str">
        <f>CLEAN("C PRESCOTT  VARIOUS LOCATIONS")</f>
        <v>C PRESCOTT  VARIOUS LOCATIONS</v>
      </c>
      <c r="F1174" s="3" t="str">
        <f>CLEAN("USH 10 &amp; STH 29/35 INTERSECTION")</f>
        <v>USH 10 &amp; STH 29/35 INTERSECTION</v>
      </c>
      <c r="G1174" s="3" t="str">
        <f>CLEAN("PLANNING-BIKE/PEDESTRIAN STUDY-TAP")</f>
        <v>PLANNING-BIKE/PEDESTRIAN STUDY-TAP</v>
      </c>
      <c r="H1174" s="2" t="str">
        <f>CLEAN("OFF SYS")</f>
        <v>OFF SYS</v>
      </c>
      <c r="I1174" s="2" t="str">
        <f>CLEAN("290")</f>
        <v>290</v>
      </c>
    </row>
    <row r="1175" spans="1:9" x14ac:dyDescent="0.35">
      <c r="A1175" s="2" t="str">
        <f t="shared" ref="A1175:A1199" si="192">CLEAN("RACINE")</f>
        <v>RACINE</v>
      </c>
      <c r="B1175" s="2" t="str">
        <f t="shared" ref="B1175:B1199" si="193">CLEAN("CITY OF RACINE")</f>
        <v>CITY OF RACINE</v>
      </c>
      <c r="C1175" s="2" t="s">
        <v>2690</v>
      </c>
      <c r="D1175" s="2" t="str">
        <f>CLEAN("2290-10-02")</f>
        <v>2290-10-02</v>
      </c>
      <c r="E1175" s="3" t="str">
        <f>CLEAN("C RACINE  STATE ST")</f>
        <v>C RACINE  STATE ST</v>
      </c>
      <c r="F1175" s="3" t="str">
        <f>CLEAN("BRIDGE OVER ROOT RIVER  B510069")</f>
        <v>BRIDGE OVER ROOT RIVER  B510069</v>
      </c>
      <c r="G1175" s="3" t="str">
        <f>CLEAN("PE/FULL PS&amp;E ROW/BRRHB")</f>
        <v>PE/FULL PS&amp;E ROW/BRRHB</v>
      </c>
      <c r="H1175" s="2" t="str">
        <f>CLEAN("STH 038")</f>
        <v>STH 038</v>
      </c>
      <c r="I1175" s="2" t="str">
        <f>CLEAN("303")</f>
        <v>303</v>
      </c>
    </row>
    <row r="1176" spans="1:9" x14ac:dyDescent="0.35">
      <c r="A1176" s="2" t="str">
        <f t="shared" si="192"/>
        <v>RACINE</v>
      </c>
      <c r="B1176" s="2" t="str">
        <f t="shared" si="193"/>
        <v>CITY OF RACINE</v>
      </c>
      <c r="C1176" s="2" t="s">
        <v>2829</v>
      </c>
      <c r="D1176" s="2" t="str">
        <f>CLEAN("2703-05-01")</f>
        <v>2703-05-01</v>
      </c>
      <c r="E1176" s="3" t="str">
        <f>CLEAN("C RACINE  6TH ST")</f>
        <v>C RACINE  6TH ST</v>
      </c>
      <c r="F1176" s="3" t="str">
        <f>CLEAN("ROOT RIVER BRIDGE B51-064")</f>
        <v>ROOT RIVER BRIDGE B51-064</v>
      </c>
      <c r="G1176" s="3" t="str">
        <f>CLEAN("PE/FULL PSE/BRIDGE REHAB")</f>
        <v>PE/FULL PSE/BRIDGE REHAB</v>
      </c>
      <c r="H1176" s="2" t="str">
        <f t="shared" ref="H1176:H1183" si="194">CLEAN("LOC STR")</f>
        <v>LOC STR</v>
      </c>
      <c r="I1176" s="2" t="str">
        <f>CLEAN("205")</f>
        <v>205</v>
      </c>
    </row>
    <row r="1177" spans="1:9" x14ac:dyDescent="0.35">
      <c r="A1177" s="2" t="str">
        <f t="shared" si="192"/>
        <v>RACINE</v>
      </c>
      <c r="B1177" s="2" t="str">
        <f t="shared" si="193"/>
        <v>CITY OF RACINE</v>
      </c>
      <c r="C1177" s="2" t="s">
        <v>2827</v>
      </c>
      <c r="D1177" s="2" t="str">
        <f>CLEAN("2703-05-02")</f>
        <v>2703-05-02</v>
      </c>
      <c r="E1177" s="3" t="str">
        <f>CLEAN("C RACINE  6TH ST")</f>
        <v>C RACINE  6TH ST</v>
      </c>
      <c r="F1177" s="3" t="str">
        <f>CLEAN("HOWE ST BRIDGE B51-067")</f>
        <v>HOWE ST BRIDGE B51-067</v>
      </c>
      <c r="G1177" s="3" t="str">
        <f>CLEAN("PE/FULL PSE/BRIDGE REHAB")</f>
        <v>PE/FULL PSE/BRIDGE REHAB</v>
      </c>
      <c r="H1177" s="2" t="str">
        <f t="shared" si="194"/>
        <v>LOC STR</v>
      </c>
      <c r="I1177" s="2" t="str">
        <f>CLEAN("205")</f>
        <v>205</v>
      </c>
    </row>
    <row r="1178" spans="1:9" x14ac:dyDescent="0.35">
      <c r="A1178" s="2" t="str">
        <f t="shared" si="192"/>
        <v>RACINE</v>
      </c>
      <c r="B1178" s="2" t="str">
        <f t="shared" si="193"/>
        <v>CITY OF RACINE</v>
      </c>
      <c r="C1178" s="2" t="s">
        <v>2723</v>
      </c>
      <c r="D1178" s="2" t="str">
        <f>CLEAN("2703-05-03")</f>
        <v>2703-05-03</v>
      </c>
      <c r="E1178" s="3" t="str">
        <f>CLEAN("C RACINE  SPRING ST")</f>
        <v>C RACINE  SPRING ST</v>
      </c>
      <c r="F1178" s="3" t="str">
        <f>CLEAN("FAIRWAY DR TO 303FT W OF STH 38")</f>
        <v>FAIRWAY DR TO 303FT W OF STH 38</v>
      </c>
      <c r="G1178" s="3" t="str">
        <f>CLEAN("PE/FULL PS&amp;E ROW/RSRF20")</f>
        <v>PE/FULL PS&amp;E ROW/RSRF20</v>
      </c>
      <c r="H1178" s="2" t="str">
        <f t="shared" si="194"/>
        <v>LOC STR</v>
      </c>
      <c r="I1178" s="2" t="str">
        <f t="shared" ref="I1178:I1183" si="195">CLEAN("206")</f>
        <v>206</v>
      </c>
    </row>
    <row r="1179" spans="1:9" x14ac:dyDescent="0.35">
      <c r="A1179" s="2" t="str">
        <f t="shared" si="192"/>
        <v>RACINE</v>
      </c>
      <c r="B1179" s="2" t="str">
        <f t="shared" si="193"/>
        <v>CITY OF RACINE</v>
      </c>
      <c r="C1179" s="2" t="s">
        <v>2717</v>
      </c>
      <c r="D1179" s="2" t="str">
        <f>CLEAN("2703-07-02")</f>
        <v>2703-07-02</v>
      </c>
      <c r="E1179" s="3" t="str">
        <f>CLEAN("C RACINE  LATHROP AVE")</f>
        <v>C RACINE  LATHROP AVE</v>
      </c>
      <c r="F1179" s="3" t="str">
        <f>CLEAN("REPUBLIC AVE TO WASHINGTON AVE")</f>
        <v>REPUBLIC AVE TO WASHINGTON AVE</v>
      </c>
      <c r="G1179" s="3" t="str">
        <f>CLEAN("PE/FULL PS&amp;E ROW/RECST")</f>
        <v>PE/FULL PS&amp;E ROW/RECST</v>
      </c>
      <c r="H1179" s="2" t="str">
        <f t="shared" si="194"/>
        <v>LOC STR</v>
      </c>
      <c r="I1179" s="2" t="str">
        <f t="shared" si="195"/>
        <v>206</v>
      </c>
    </row>
    <row r="1180" spans="1:9" x14ac:dyDescent="0.35">
      <c r="A1180" s="2" t="str">
        <f t="shared" si="192"/>
        <v>RACINE</v>
      </c>
      <c r="B1180" s="2" t="str">
        <f t="shared" si="193"/>
        <v>CITY OF RACINE</v>
      </c>
      <c r="C1180" s="2" t="s">
        <v>2777</v>
      </c>
      <c r="D1180" s="2" t="str">
        <f>CLEAN("2703-08-01")</f>
        <v>2703-08-01</v>
      </c>
      <c r="E1180" s="3" t="str">
        <f>CLEAN("C RACINE  S MEMORIAL DR")</f>
        <v>C RACINE  S MEMORIAL DR</v>
      </c>
      <c r="F1180" s="3" t="str">
        <f>CLEAN("DURAND AVE TO 17TH ST")</f>
        <v>DURAND AVE TO 17TH ST</v>
      </c>
      <c r="G1180" s="3" t="str">
        <f>CLEAN("PE/FULL PS&amp;E/RSRF30")</f>
        <v>PE/FULL PS&amp;E/RSRF30</v>
      </c>
      <c r="H1180" s="2" t="str">
        <f t="shared" si="194"/>
        <v>LOC STR</v>
      </c>
      <c r="I1180" s="2" t="str">
        <f t="shared" si="195"/>
        <v>206</v>
      </c>
    </row>
    <row r="1181" spans="1:9" x14ac:dyDescent="0.35">
      <c r="A1181" s="2" t="str">
        <f t="shared" si="192"/>
        <v>RACINE</v>
      </c>
      <c r="B1181" s="2" t="str">
        <f t="shared" si="193"/>
        <v>CITY OF RACINE</v>
      </c>
      <c r="C1181" s="2" t="s">
        <v>2946</v>
      </c>
      <c r="D1181" s="2" t="str">
        <f>CLEAN("2703-09-01")</f>
        <v>2703-09-01</v>
      </c>
      <c r="E1181" s="3" t="str">
        <f>CLEAN("N MAIN STREET")</f>
        <v>N MAIN STREET</v>
      </c>
      <c r="F1181" s="3" t="str">
        <f>CLEAN("GOOLD ST TO MELVIN AVE")</f>
        <v>GOOLD ST TO MELVIN AVE</v>
      </c>
      <c r="G1181" s="3" t="str">
        <f>CLEAN("PE/RECONSTRUCT NO ADDL LANES")</f>
        <v>PE/RECONSTRUCT NO ADDL LANES</v>
      </c>
      <c r="H1181" s="2" t="str">
        <f t="shared" si="194"/>
        <v>LOC STR</v>
      </c>
      <c r="I1181" s="2" t="str">
        <f t="shared" si="195"/>
        <v>206</v>
      </c>
    </row>
    <row r="1182" spans="1:9" x14ac:dyDescent="0.35">
      <c r="A1182" s="2" t="str">
        <f t="shared" si="192"/>
        <v>RACINE</v>
      </c>
      <c r="B1182" s="2" t="str">
        <f t="shared" si="193"/>
        <v>CITY OF RACINE</v>
      </c>
      <c r="C1182" s="2" t="s">
        <v>2674</v>
      </c>
      <c r="D1182" s="2" t="str">
        <f>CLEAN("2703-09-02")</f>
        <v>2703-09-02</v>
      </c>
      <c r="E1182" s="3" t="str">
        <f>CLEAN("C RACINE  MT PLEASANT ST")</f>
        <v>C RACINE  MT PLEASANT ST</v>
      </c>
      <c r="F1182" s="3" t="str">
        <f>CLEAN("RAPIDS DR TO ROMAYNE AVE")</f>
        <v>RAPIDS DR TO ROMAYNE AVE</v>
      </c>
      <c r="G1182" s="3" t="str">
        <f>CLEAN("PE/FULL PS &amp; E ROW/RECST")</f>
        <v>PE/FULL PS &amp; E ROW/RECST</v>
      </c>
      <c r="H1182" s="2" t="str">
        <f t="shared" si="194"/>
        <v>LOC STR</v>
      </c>
      <c r="I1182" s="2" t="str">
        <f t="shared" si="195"/>
        <v>206</v>
      </c>
    </row>
    <row r="1183" spans="1:9" x14ac:dyDescent="0.35">
      <c r="A1183" s="2" t="str">
        <f t="shared" si="192"/>
        <v>RACINE</v>
      </c>
      <c r="B1183" s="2" t="str">
        <f t="shared" si="193"/>
        <v>CITY OF RACINE</v>
      </c>
      <c r="C1183" s="2" t="s">
        <v>3144</v>
      </c>
      <c r="D1183" s="2" t="str">
        <f>CLEAN("2703-09-21")</f>
        <v>2703-09-21</v>
      </c>
      <c r="E1183" s="3" t="str">
        <f>CLEAN("N MAIN STREET")</f>
        <v>N MAIN STREET</v>
      </c>
      <c r="F1183" s="3" t="str">
        <f>CLEAN("GOOLD ST TO MELVIN AVE")</f>
        <v>GOOLD ST TO MELVIN AVE</v>
      </c>
      <c r="G1183" s="3" t="str">
        <f>CLEAN("RE/RECONSTRUCT NO ADDL LANES")</f>
        <v>RE/RECONSTRUCT NO ADDL LANES</v>
      </c>
      <c r="H1183" s="2" t="str">
        <f t="shared" si="194"/>
        <v>LOC STR</v>
      </c>
      <c r="I1183" s="2" t="str">
        <f t="shared" si="195"/>
        <v>206</v>
      </c>
    </row>
    <row r="1184" spans="1:9" x14ac:dyDescent="0.35">
      <c r="A1184" s="2" t="str">
        <f t="shared" si="192"/>
        <v>RACINE</v>
      </c>
      <c r="B1184" s="2" t="str">
        <f t="shared" si="193"/>
        <v>CITY OF RACINE</v>
      </c>
      <c r="C1184" s="2" t="s">
        <v>373</v>
      </c>
      <c r="D1184" s="2" t="str">
        <f>CLEAN("1693-34-76")</f>
        <v>1693-34-76</v>
      </c>
      <c r="E1184" s="3" t="str">
        <f>CLEAN("LAKE MICHIGAN PATHWAY PHASE 4")</f>
        <v>LAKE MICHIGAN PATHWAY PHASE 4</v>
      </c>
      <c r="F1184" s="3" t="str">
        <f>CLEAN("24TH ST TO NORTH SHORE BIKE TRAIL")</f>
        <v>24TH ST TO NORTH SHORE BIKE TRAIL</v>
      </c>
      <c r="G1184" s="3" t="str">
        <f>CLEAN("CONST/BIKE/PED TRAIL")</f>
        <v>CONST/BIKE/PED TRAIL</v>
      </c>
      <c r="H1184" s="2" t="str">
        <f>CLEAN("NON HWY")</f>
        <v>NON HWY</v>
      </c>
      <c r="I1184" s="2" t="str">
        <f>CLEAN("211")</f>
        <v>211</v>
      </c>
    </row>
    <row r="1185" spans="1:9" x14ac:dyDescent="0.35">
      <c r="A1185" s="2" t="str">
        <f t="shared" si="192"/>
        <v>RACINE</v>
      </c>
      <c r="B1185" s="2" t="str">
        <f t="shared" si="193"/>
        <v>CITY OF RACINE</v>
      </c>
      <c r="C1185" s="2" t="s">
        <v>2603</v>
      </c>
      <c r="D1185" s="2" t="str">
        <f>CLEAN("2260-07-00")</f>
        <v>2260-07-00</v>
      </c>
      <c r="E1185" s="3" t="str">
        <f>CLEAN("DURAND AVE  CITY OF RACINE")</f>
        <v>DURAND AVE  CITY OF RACINE</v>
      </c>
      <c r="F1185" s="3" t="str">
        <f>CLEAN("KENTUCKY ST TO KEARNEY AVE")</f>
        <v>KENTUCKY ST TO KEARNEY AVE</v>
      </c>
      <c r="G1185" s="3" t="str">
        <f>CLEAN("P.E./RECONSTRUCT")</f>
        <v>P.E./RECONSTRUCT</v>
      </c>
      <c r="H1185" s="2" t="str">
        <f>CLEAN("STH 011")</f>
        <v>STH 011</v>
      </c>
      <c r="I1185" s="2" t="str">
        <f t="shared" ref="I1185:I1190" si="196">CLEAN("303")</f>
        <v>303</v>
      </c>
    </row>
    <row r="1186" spans="1:9" x14ac:dyDescent="0.35">
      <c r="A1186" s="2" t="str">
        <f t="shared" si="192"/>
        <v>RACINE</v>
      </c>
      <c r="B1186" s="2" t="str">
        <f t="shared" si="193"/>
        <v>CITY OF RACINE</v>
      </c>
      <c r="C1186" s="2" t="s">
        <v>770</v>
      </c>
      <c r="D1186" s="2" t="str">
        <f>CLEAN("2260-08-70")</f>
        <v>2260-08-70</v>
      </c>
      <c r="E1186" s="3" t="str">
        <f>CLEAN("DURAND AVE  CITY OF RACINE")</f>
        <v>DURAND AVE  CITY OF RACINE</v>
      </c>
      <c r="F1186" s="3" t="str">
        <f>CLEAN("KEARNEY AVE TO EAST OF MEMORIAL DR")</f>
        <v>KEARNEY AVE TO EAST OF MEMORIAL DR</v>
      </c>
      <c r="G1186" s="3" t="str">
        <f>CLEAN("CONST/RECONSTRUCT")</f>
        <v>CONST/RECONSTRUCT</v>
      </c>
      <c r="H1186" s="2" t="str">
        <f>CLEAN("STH 011")</f>
        <v>STH 011</v>
      </c>
      <c r="I1186" s="2" t="str">
        <f t="shared" si="196"/>
        <v>303</v>
      </c>
    </row>
    <row r="1187" spans="1:9" x14ac:dyDescent="0.35">
      <c r="A1187" s="2" t="str">
        <f t="shared" si="192"/>
        <v>RACINE</v>
      </c>
      <c r="B1187" s="2" t="str">
        <f t="shared" si="193"/>
        <v>CITY OF RACINE</v>
      </c>
      <c r="C1187" s="2" t="s">
        <v>2821</v>
      </c>
      <c r="D1187" s="2" t="str">
        <f>CLEAN("2290-00-03")</f>
        <v>2290-00-03</v>
      </c>
      <c r="E1187" s="3" t="str">
        <f>CLEAN("CITY RACINE  NORTHWESTERN AVENUE")</f>
        <v>CITY RACINE  NORTHWESTERN AVENUE</v>
      </c>
      <c r="F1187" s="3" t="str">
        <f>CLEAN("GOLF AVENUE TO RAPIDS DRIVE")</f>
        <v>GOLF AVENUE TO RAPIDS DRIVE</v>
      </c>
      <c r="G1187" s="3" t="str">
        <f>CLEAN("PE/FULL PSE RSRF25")</f>
        <v>PE/FULL PSE RSRF25</v>
      </c>
      <c r="H1187" s="2" t="str">
        <f>CLEAN("STH 038")</f>
        <v>STH 038</v>
      </c>
      <c r="I1187" s="2" t="str">
        <f t="shared" si="196"/>
        <v>303</v>
      </c>
    </row>
    <row r="1188" spans="1:9" x14ac:dyDescent="0.35">
      <c r="A1188" s="2" t="str">
        <f t="shared" si="192"/>
        <v>RACINE</v>
      </c>
      <c r="B1188" s="2" t="str">
        <f t="shared" si="193"/>
        <v>CITY OF RACINE</v>
      </c>
      <c r="C1188" s="2" t="s">
        <v>969</v>
      </c>
      <c r="D1188" s="2" t="str">
        <f>CLEAN("2290-00-73")</f>
        <v>2290-00-73</v>
      </c>
      <c r="E1188" s="3" t="str">
        <f>CLEAN("CITY RACINE  NORTHWESTERN AVENUE")</f>
        <v>CITY RACINE  NORTHWESTERN AVENUE</v>
      </c>
      <c r="F1188" s="3" t="str">
        <f>CLEAN("GOLF AVENUE TO RAPIDS DRIVE")</f>
        <v>GOLF AVENUE TO RAPIDS DRIVE</v>
      </c>
      <c r="G1188" s="3" t="str">
        <f>CLEAN("CONST/RESURFACE")</f>
        <v>CONST/RESURFACE</v>
      </c>
      <c r="H1188" s="2" t="str">
        <f>CLEAN("STH 038")</f>
        <v>STH 038</v>
      </c>
      <c r="I1188" s="2" t="str">
        <f t="shared" si="196"/>
        <v>303</v>
      </c>
    </row>
    <row r="1189" spans="1:9" x14ac:dyDescent="0.35">
      <c r="A1189" s="2" t="str">
        <f t="shared" si="192"/>
        <v>RACINE</v>
      </c>
      <c r="B1189" s="2" t="str">
        <f t="shared" si="193"/>
        <v>CITY OF RACINE</v>
      </c>
      <c r="C1189" s="2" t="s">
        <v>779</v>
      </c>
      <c r="D1189" s="2" t="str">
        <f>CLEAN("2390-12-70")</f>
        <v>2390-12-70</v>
      </c>
      <c r="E1189" s="3" t="str">
        <f>CLEAN("PLEASANT PRAIRIE - CALEDONIA")</f>
        <v>PLEASANT PRAIRIE - CALEDONIA</v>
      </c>
      <c r="F1189" s="3" t="str">
        <f>CLEAN("STH 11 TO STH 20")</f>
        <v>STH 11 TO STH 20</v>
      </c>
      <c r="G1189" s="3" t="str">
        <f>CLEAN("CONST/RECONSTRUCT")</f>
        <v>CONST/RECONSTRUCT</v>
      </c>
      <c r="H1189" s="2" t="str">
        <f>CLEAN("STH 031")</f>
        <v>STH 031</v>
      </c>
      <c r="I1189" s="2" t="str">
        <f t="shared" si="196"/>
        <v>303</v>
      </c>
    </row>
    <row r="1190" spans="1:9" x14ac:dyDescent="0.35">
      <c r="A1190" s="2" t="str">
        <f t="shared" si="192"/>
        <v>RACINE</v>
      </c>
      <c r="B1190" s="2" t="str">
        <f t="shared" si="193"/>
        <v>CITY OF RACINE</v>
      </c>
      <c r="C1190" s="2" t="s">
        <v>1007</v>
      </c>
      <c r="D1190" s="2" t="str">
        <f>CLEAN("2440-12-60")</f>
        <v>2440-12-60</v>
      </c>
      <c r="E1190" s="3" t="str">
        <f>CLEAN("WASHINGTON AVE  CITY OF RACINE")</f>
        <v>WASHINGTON AVE  CITY OF RACINE</v>
      </c>
      <c r="F1190" s="3" t="str">
        <f>CLEAN("WEST BLVD TO MARQUETTE STREET")</f>
        <v>WEST BLVD TO MARQUETTE STREET</v>
      </c>
      <c r="G1190" s="3" t="str">
        <f>CLEAN("CONST/ROADWY MAINTENANCE  RESURFACE")</f>
        <v>CONST/ROADWY MAINTENANCE  RESURFACE</v>
      </c>
      <c r="H1190" s="2" t="str">
        <f>CLEAN("STH 020")</f>
        <v>STH 020</v>
      </c>
      <c r="I1190" s="2" t="str">
        <f t="shared" si="196"/>
        <v>303</v>
      </c>
    </row>
    <row r="1191" spans="1:9" x14ac:dyDescent="0.35">
      <c r="A1191" s="2" t="str">
        <f t="shared" si="192"/>
        <v>RACINE</v>
      </c>
      <c r="B1191" s="2" t="str">
        <f t="shared" si="193"/>
        <v>CITY OF RACINE</v>
      </c>
      <c r="C1191" s="2" t="s">
        <v>2822</v>
      </c>
      <c r="D1191" s="2" t="str">
        <f>CLEAN("2703-00-06")</f>
        <v>2703-00-06</v>
      </c>
      <c r="E1191" s="3" t="str">
        <f>CLEAN("CITY RACINE  OHIO ST")</f>
        <v>CITY RACINE  OHIO ST</v>
      </c>
      <c r="F1191" s="3" t="str">
        <f>CLEAN("WASHINGTON AVE TO GRACELAND BLVD")</f>
        <v>WASHINGTON AVE TO GRACELAND BLVD</v>
      </c>
      <c r="G1191" s="3" t="str">
        <f>CLEAN("PE/FULL PSE W ROW/RECST")</f>
        <v>PE/FULL PSE W ROW/RECST</v>
      </c>
      <c r="H1191" s="2" t="str">
        <f t="shared" ref="H1191:H1199" si="197">CLEAN("LOC STR")</f>
        <v>LOC STR</v>
      </c>
      <c r="I1191" s="2" t="str">
        <f>CLEAN("206")</f>
        <v>206</v>
      </c>
    </row>
    <row r="1192" spans="1:9" x14ac:dyDescent="0.35">
      <c r="A1192" s="2" t="str">
        <f t="shared" si="192"/>
        <v>RACINE</v>
      </c>
      <c r="B1192" s="2" t="str">
        <f t="shared" si="193"/>
        <v>CITY OF RACINE</v>
      </c>
      <c r="C1192" s="2" t="s">
        <v>479</v>
      </c>
      <c r="D1192" s="2" t="str">
        <f>CLEAN("2703-00-72")</f>
        <v>2703-00-72</v>
      </c>
      <c r="E1192" s="3" t="str">
        <f>CLEAN("W 6TH STREET")</f>
        <v>W 6TH STREET</v>
      </c>
      <c r="F1192" s="3" t="str">
        <f>CLEAN("BRIDGE OVER ROOT RIVER (P-51-0709)")</f>
        <v>BRIDGE OVER ROOT RIVER (P-51-0709)</v>
      </c>
      <c r="G1192" s="3" t="str">
        <f>CLEAN("CONST/BRIDGE REPLACEMENT P-51-0709")</f>
        <v>CONST/BRIDGE REPLACEMENT P-51-0709</v>
      </c>
      <c r="H1192" s="2" t="str">
        <f t="shared" si="197"/>
        <v>LOC STR</v>
      </c>
      <c r="I1192" s="2" t="str">
        <f>CLEAN("205")</f>
        <v>205</v>
      </c>
    </row>
    <row r="1193" spans="1:9" x14ac:dyDescent="0.35">
      <c r="A1193" s="2" t="str">
        <f t="shared" si="192"/>
        <v>RACINE</v>
      </c>
      <c r="B1193" s="2" t="str">
        <f t="shared" si="193"/>
        <v>CITY OF RACINE</v>
      </c>
      <c r="C1193" s="2" t="s">
        <v>841</v>
      </c>
      <c r="D1193" s="2" t="str">
        <f>CLEAN("2703-00-76")</f>
        <v>2703-00-76</v>
      </c>
      <c r="E1193" s="3" t="str">
        <f>CLEAN("CITY RACINE  OHIO ST")</f>
        <v>CITY RACINE  OHIO ST</v>
      </c>
      <c r="F1193" s="3" t="str">
        <f>CLEAN("WASHINGTON AVE TO GRACELAND BLVD")</f>
        <v>WASHINGTON AVE TO GRACELAND BLVD</v>
      </c>
      <c r="G1193" s="3" t="str">
        <f>CLEAN("CONST/RECST")</f>
        <v>CONST/RECST</v>
      </c>
      <c r="H1193" s="2" t="str">
        <f t="shared" si="197"/>
        <v>LOC STR</v>
      </c>
      <c r="I1193" s="2" t="str">
        <f>CLEAN("206")</f>
        <v>206</v>
      </c>
    </row>
    <row r="1194" spans="1:9" x14ac:dyDescent="0.35">
      <c r="A1194" s="2" t="str">
        <f t="shared" si="192"/>
        <v>RACINE</v>
      </c>
      <c r="B1194" s="2" t="str">
        <f t="shared" si="193"/>
        <v>CITY OF RACINE</v>
      </c>
      <c r="C1194" s="2" t="s">
        <v>390</v>
      </c>
      <c r="D1194" s="2" t="str">
        <f>CLEAN("2703-05-71")</f>
        <v>2703-05-71</v>
      </c>
      <c r="E1194" s="3" t="str">
        <f>CLEAN("C RACINE  6TH ST")</f>
        <v>C RACINE  6TH ST</v>
      </c>
      <c r="F1194" s="3" t="str">
        <f>CLEAN("ROOT RIVER BRIDGE B-51-0064")</f>
        <v>ROOT RIVER BRIDGE B-51-0064</v>
      </c>
      <c r="G1194" s="3" t="str">
        <f>CLEAN("CONST/BRIDGE REHAB")</f>
        <v>CONST/BRIDGE REHAB</v>
      </c>
      <c r="H1194" s="2" t="str">
        <f t="shared" si="197"/>
        <v>LOC STR</v>
      </c>
      <c r="I1194" s="2" t="str">
        <f>CLEAN("205")</f>
        <v>205</v>
      </c>
    </row>
    <row r="1195" spans="1:9" x14ac:dyDescent="0.35">
      <c r="A1195" s="2" t="str">
        <f t="shared" si="192"/>
        <v>RACINE</v>
      </c>
      <c r="B1195" s="2" t="str">
        <f t="shared" si="193"/>
        <v>CITY OF RACINE</v>
      </c>
      <c r="C1195" s="2" t="s">
        <v>397</v>
      </c>
      <c r="D1195" s="2" t="str">
        <f>CLEAN("2703-05-72")</f>
        <v>2703-05-72</v>
      </c>
      <c r="E1195" s="3" t="str">
        <f>CLEAN("C RACINE  6TH ST")</f>
        <v>C RACINE  6TH ST</v>
      </c>
      <c r="F1195" s="3" t="str">
        <f>CLEAN("HOWE ST BRIDGE B-51-0067")</f>
        <v>HOWE ST BRIDGE B-51-0067</v>
      </c>
      <c r="G1195" s="3" t="str">
        <f>CLEAN("CONST/BRIDGE REPAIR")</f>
        <v>CONST/BRIDGE REPAIR</v>
      </c>
      <c r="H1195" s="2" t="str">
        <f t="shared" si="197"/>
        <v>LOC STR</v>
      </c>
      <c r="I1195" s="2" t="str">
        <f>CLEAN("205")</f>
        <v>205</v>
      </c>
    </row>
    <row r="1196" spans="1:9" x14ac:dyDescent="0.35">
      <c r="A1196" s="2" t="str">
        <f t="shared" si="192"/>
        <v>RACINE</v>
      </c>
      <c r="B1196" s="2" t="str">
        <f t="shared" si="193"/>
        <v>CITY OF RACINE</v>
      </c>
      <c r="C1196" s="2" t="s">
        <v>830</v>
      </c>
      <c r="D1196" s="2" t="str">
        <f>CLEAN("2703-07-72")</f>
        <v>2703-07-72</v>
      </c>
      <c r="E1196" s="3" t="str">
        <f>CLEAN("C RACINE  LATHROP AVE")</f>
        <v>C RACINE  LATHROP AVE</v>
      </c>
      <c r="F1196" s="3" t="str">
        <f>CLEAN("REPUBLIC AVE TO WASHINGTON AVE")</f>
        <v>REPUBLIC AVE TO WASHINGTON AVE</v>
      </c>
      <c r="G1196" s="3" t="str">
        <f>CLEAN("CONST/RECST")</f>
        <v>CONST/RECST</v>
      </c>
      <c r="H1196" s="2" t="str">
        <f t="shared" si="197"/>
        <v>LOC STR</v>
      </c>
      <c r="I1196" s="2" t="str">
        <f>CLEAN("206")</f>
        <v>206</v>
      </c>
    </row>
    <row r="1197" spans="1:9" x14ac:dyDescent="0.35">
      <c r="A1197" s="2" t="str">
        <f t="shared" si="192"/>
        <v>RACINE</v>
      </c>
      <c r="B1197" s="2" t="str">
        <f t="shared" si="193"/>
        <v>CITY OF RACINE</v>
      </c>
      <c r="C1197" s="2" t="s">
        <v>1021</v>
      </c>
      <c r="D1197" s="2" t="str">
        <f>CLEAN("2703-08-71")</f>
        <v>2703-08-71</v>
      </c>
      <c r="E1197" s="3" t="str">
        <f>CLEAN("C RACINE  S MEMORIAL DR")</f>
        <v>C RACINE  S MEMORIAL DR</v>
      </c>
      <c r="F1197" s="3" t="str">
        <f>CLEAN("DURAND AVE TO 17TH ST")</f>
        <v>DURAND AVE TO 17TH ST</v>
      </c>
      <c r="G1197" s="3" t="str">
        <f>CLEAN("CONST/RSRF30")</f>
        <v>CONST/RSRF30</v>
      </c>
      <c r="H1197" s="2" t="str">
        <f t="shared" si="197"/>
        <v>LOC STR</v>
      </c>
      <c r="I1197" s="2" t="str">
        <f>CLEAN("206")</f>
        <v>206</v>
      </c>
    </row>
    <row r="1198" spans="1:9" x14ac:dyDescent="0.35">
      <c r="A1198" s="2" t="str">
        <f t="shared" si="192"/>
        <v>RACINE</v>
      </c>
      <c r="B1198" s="2" t="str">
        <f t="shared" si="193"/>
        <v>CITY OF RACINE</v>
      </c>
      <c r="C1198" s="2" t="s">
        <v>792</v>
      </c>
      <c r="D1198" s="2" t="str">
        <f>CLEAN("2703-09-71")</f>
        <v>2703-09-71</v>
      </c>
      <c r="E1198" s="3" t="str">
        <f>CLEAN("C RACINE N MAIN STREET")</f>
        <v>C RACINE N MAIN STREET</v>
      </c>
      <c r="F1198" s="3" t="str">
        <f>CLEAN("GOOLD ST TO MELVIN AVE")</f>
        <v>GOOLD ST TO MELVIN AVE</v>
      </c>
      <c r="G1198" s="3" t="str">
        <f>CLEAN("CONST/RECONSTRUCT NO ADDL LANES")</f>
        <v>CONST/RECONSTRUCT NO ADDL LANES</v>
      </c>
      <c r="H1198" s="2" t="str">
        <f t="shared" si="197"/>
        <v>LOC STR</v>
      </c>
      <c r="I1198" s="2" t="str">
        <f>CLEAN("206")</f>
        <v>206</v>
      </c>
    </row>
    <row r="1199" spans="1:9" x14ac:dyDescent="0.35">
      <c r="A1199" s="2" t="str">
        <f t="shared" si="192"/>
        <v>RACINE</v>
      </c>
      <c r="B1199" s="2" t="str">
        <f t="shared" si="193"/>
        <v>CITY OF RACINE</v>
      </c>
      <c r="C1199" s="2" t="s">
        <v>829</v>
      </c>
      <c r="D1199" s="2" t="str">
        <f>CLEAN("2703-09-72")</f>
        <v>2703-09-72</v>
      </c>
      <c r="E1199" s="3" t="str">
        <f>CLEAN("C RACINE  MT PLEASANT ST")</f>
        <v>C RACINE  MT PLEASANT ST</v>
      </c>
      <c r="F1199" s="3" t="str">
        <f>CLEAN("RAPIDS DR TO ROMAYNE AVE")</f>
        <v>RAPIDS DR TO ROMAYNE AVE</v>
      </c>
      <c r="G1199" s="3" t="str">
        <f>CLEAN("CONST/RECST")</f>
        <v>CONST/RECST</v>
      </c>
      <c r="H1199" s="2" t="str">
        <f t="shared" si="197"/>
        <v>LOC STR</v>
      </c>
      <c r="I1199" s="2" t="str">
        <f>CLEAN("206")</f>
        <v>206</v>
      </c>
    </row>
    <row r="1200" spans="1:9" x14ac:dyDescent="0.35">
      <c r="A1200" s="2" t="str">
        <f t="shared" ref="A1200:A1207" si="198">CLEAN("SAUK")</f>
        <v>SAUK</v>
      </c>
      <c r="B1200" s="2" t="str">
        <f t="shared" ref="B1200:B1207" si="199">CLEAN("CITY OF REEDSBURG")</f>
        <v>CITY OF REEDSBURG</v>
      </c>
      <c r="C1200" s="2" t="s">
        <v>2611</v>
      </c>
      <c r="D1200" s="2" t="str">
        <f>CLEAN("5030-01-04")</f>
        <v>5030-01-04</v>
      </c>
      <c r="E1200" s="3" t="str">
        <f>CLEAN("REEDSBURG - BARABOO")</f>
        <v>REEDSBURG - BARABOO</v>
      </c>
      <c r="F1200" s="3" t="str">
        <f>CLEAN("PRESTON AVENUE TO STH 23")</f>
        <v>PRESTON AVENUE TO STH 23</v>
      </c>
      <c r="G1200" s="3" t="str">
        <f>CLEAN("PE/ MILL &amp; OVERLAY")</f>
        <v>PE/ MILL &amp; OVERLAY</v>
      </c>
      <c r="H1200" s="2" t="str">
        <f>CLEAN("STH 033")</f>
        <v>STH 033</v>
      </c>
      <c r="I1200" s="2" t="str">
        <f>CLEAN("303")</f>
        <v>303</v>
      </c>
    </row>
    <row r="1201" spans="1:9" x14ac:dyDescent="0.35">
      <c r="A1201" s="2" t="str">
        <f t="shared" si="198"/>
        <v>SAUK</v>
      </c>
      <c r="B1201" s="2" t="str">
        <f t="shared" si="199"/>
        <v>CITY OF REEDSBURG</v>
      </c>
      <c r="C1201" s="2" t="s">
        <v>2302</v>
      </c>
      <c r="D1201" s="2" t="str">
        <f>CLEAN("5050-01-07")</f>
        <v>5050-01-07</v>
      </c>
      <c r="E1201" s="3" t="str">
        <f>CLEAN("C REEDSBURG  MAIN STREET")</f>
        <v>C REEDSBURG  MAIN STREET</v>
      </c>
      <c r="F1201" s="3" t="str">
        <f>CLEAN("DEWEY AVENUE TO VIKING DRIVE")</f>
        <v>DEWEY AVENUE TO VIKING DRIVE</v>
      </c>
      <c r="G1201" s="3" t="str">
        <f>CLEAN("DESIGN-FULL PS&amp;E PVRPLA")</f>
        <v>DESIGN-FULL PS&amp;E PVRPLA</v>
      </c>
      <c r="H1201" s="2" t="str">
        <f>CLEAN("STH 023")</f>
        <v>STH 023</v>
      </c>
      <c r="I1201" s="2" t="str">
        <f>CLEAN("303")</f>
        <v>303</v>
      </c>
    </row>
    <row r="1202" spans="1:9" x14ac:dyDescent="0.35">
      <c r="A1202" s="2" t="str">
        <f t="shared" si="198"/>
        <v>SAUK</v>
      </c>
      <c r="B1202" s="2" t="str">
        <f t="shared" si="199"/>
        <v>CITY OF REEDSBURG</v>
      </c>
      <c r="C1202" s="2" t="s">
        <v>335</v>
      </c>
      <c r="D1202" s="2" t="str">
        <f>CLEAN("5030-01-73")</f>
        <v>5030-01-73</v>
      </c>
      <c r="E1202" s="3" t="str">
        <f>CLEAN("HILLSBORO - REEDSBURG")</f>
        <v>HILLSBORO - REEDSBURG</v>
      </c>
      <c r="F1202" s="3" t="str">
        <f>CLEAN("LA VALLE STREET TO PRESTON AVENUE")</f>
        <v>LA VALLE STREET TO PRESTON AVENUE</v>
      </c>
      <c r="G1202" s="3" t="str">
        <f>CLEAN("CONST/ MILL AND OVERLAY")</f>
        <v>CONST/ MILL AND OVERLAY</v>
      </c>
      <c r="H1202" s="2" t="str">
        <f>CLEAN("STH 033")</f>
        <v>STH 033</v>
      </c>
      <c r="I1202" s="2" t="str">
        <f>CLEAN("303")</f>
        <v>303</v>
      </c>
    </row>
    <row r="1203" spans="1:9" x14ac:dyDescent="0.35">
      <c r="A1203" s="2" t="str">
        <f t="shared" si="198"/>
        <v>SAUK</v>
      </c>
      <c r="B1203" s="2" t="str">
        <f t="shared" si="199"/>
        <v>CITY OF REEDSBURG</v>
      </c>
      <c r="C1203" s="2" t="s">
        <v>329</v>
      </c>
      <c r="D1203" s="2" t="str">
        <f>CLEAN("5030-01-74")</f>
        <v>5030-01-74</v>
      </c>
      <c r="E1203" s="3" t="str">
        <f>CLEAN("REEDSBURG - BARABOO")</f>
        <v>REEDSBURG - BARABOO</v>
      </c>
      <c r="F1203" s="3" t="str">
        <f>CLEAN("PRESTON AVENUE TO STH 23")</f>
        <v>PRESTON AVENUE TO STH 23</v>
      </c>
      <c r="G1203" s="3" t="str">
        <f>CLEAN("CONST/ MILL &amp; OVERLAY")</f>
        <v>CONST/ MILL &amp; OVERLAY</v>
      </c>
      <c r="H1203" s="2" t="str">
        <f>CLEAN("STH 033")</f>
        <v>STH 033</v>
      </c>
      <c r="I1203" s="2" t="str">
        <f>CLEAN("303")</f>
        <v>303</v>
      </c>
    </row>
    <row r="1204" spans="1:9" x14ac:dyDescent="0.35">
      <c r="A1204" s="2" t="str">
        <f t="shared" si="198"/>
        <v>SAUK</v>
      </c>
      <c r="B1204" s="2" t="str">
        <f t="shared" si="199"/>
        <v>CITY OF REEDSBURG</v>
      </c>
      <c r="C1204" s="2" t="s">
        <v>349</v>
      </c>
      <c r="D1204" s="2" t="str">
        <f>CLEAN("5080-09-73")</f>
        <v>5080-09-73</v>
      </c>
      <c r="E1204" s="3" t="str">
        <f>CLEAN("SPRING GREEN - REEDSBURG")</f>
        <v>SPRING GREEN - REEDSBURG</v>
      </c>
      <c r="F1204" s="3" t="str">
        <f>CLEAN("ELDER RIDGE ROAD TO CTH K")</f>
        <v>ELDER RIDGE ROAD TO CTH K</v>
      </c>
      <c r="G1204" s="3" t="str">
        <f>CLEAN("CONST/ PAVE REPLACE")</f>
        <v>CONST/ PAVE REPLACE</v>
      </c>
      <c r="H1204" s="2" t="str">
        <f>CLEAN("STH 023")</f>
        <v>STH 023</v>
      </c>
      <c r="I1204" s="2" t="str">
        <f>CLEAN("303")</f>
        <v>303</v>
      </c>
    </row>
    <row r="1205" spans="1:9" x14ac:dyDescent="0.35">
      <c r="A1205" s="2" t="str">
        <f t="shared" si="198"/>
        <v>SAUK</v>
      </c>
      <c r="B1205" s="2" t="str">
        <f t="shared" si="199"/>
        <v>CITY OF REEDSBURG</v>
      </c>
      <c r="C1205" s="2" t="s">
        <v>2172</v>
      </c>
      <c r="D1205" s="2" t="str">
        <f>CLEAN("5207-00-69")</f>
        <v>5207-00-69</v>
      </c>
      <c r="E1205" s="3" t="str">
        <f>CLEAN("C REEDSBURG  K STREET")</f>
        <v>C REEDSBURG  K STREET</v>
      </c>
      <c r="F1205" s="3" t="str">
        <f>CLEAN("ALEXANDER AVE TO ALBERT AVENUE")</f>
        <v>ALEXANDER AVE TO ALBERT AVENUE</v>
      </c>
      <c r="G1205" s="3" t="str">
        <f>CLEAN("DESIGN/PLAN CHECK REVIEW/RECST")</f>
        <v>DESIGN/PLAN CHECK REVIEW/RECST</v>
      </c>
      <c r="H1205" s="2" t="str">
        <f>CLEAN("LOC STR")</f>
        <v>LOC STR</v>
      </c>
      <c r="I1205" s="2" t="str">
        <f>CLEAN("206")</f>
        <v>206</v>
      </c>
    </row>
    <row r="1206" spans="1:9" x14ac:dyDescent="0.35">
      <c r="A1206" s="2" t="str">
        <f t="shared" si="198"/>
        <v>SAUK</v>
      </c>
      <c r="B1206" s="2" t="str">
        <f t="shared" si="199"/>
        <v>CITY OF REEDSBURG</v>
      </c>
      <c r="C1206" s="2" t="s">
        <v>3099</v>
      </c>
      <c r="D1206" s="2" t="str">
        <f>CLEAN("5799-00-52")</f>
        <v>5799-00-52</v>
      </c>
      <c r="E1206" s="3" t="str">
        <f>CLEAN("C REEDSBURG  SOUTH DEWEY AVENUE")</f>
        <v>C REEDSBURG  SOUTH DEWEY AVENUE</v>
      </c>
      <c r="F1206" s="3" t="str">
        <f>CLEAN("RAILROAD STREET TO MAIN STREET")</f>
        <v>RAILROAD STREET TO MAIN STREET</v>
      </c>
      <c r="G1206" s="3" t="str">
        <f>CLEAN("R/R OPS/ CROSSING")</f>
        <v>R/R OPS/ CROSSING</v>
      </c>
      <c r="H1206" s="2" t="str">
        <f>CLEAN("LOC STR")</f>
        <v>LOC STR</v>
      </c>
      <c r="I1206" s="2" t="str">
        <f>CLEAN("206")</f>
        <v>206</v>
      </c>
    </row>
    <row r="1207" spans="1:9" x14ac:dyDescent="0.35">
      <c r="A1207" s="2" t="str">
        <f t="shared" si="198"/>
        <v>SAUK</v>
      </c>
      <c r="B1207" s="2" t="str">
        <f t="shared" si="199"/>
        <v>CITY OF REEDSBURG</v>
      </c>
      <c r="C1207" s="2" t="s">
        <v>325</v>
      </c>
      <c r="D1207" s="2" t="str">
        <f>CLEAN("5799-00-65")</f>
        <v>5799-00-65</v>
      </c>
      <c r="E1207" s="3" t="str">
        <f>CLEAN("C REEDSBURG  SOUTH DEWEY AVENUE")</f>
        <v>C REEDSBURG  SOUTH DEWEY AVENUE</v>
      </c>
      <c r="F1207" s="3" t="str">
        <f>CLEAN("RAILROAD STREET TO MAIN STREET")</f>
        <v>RAILROAD STREET TO MAIN STREET</v>
      </c>
      <c r="G1207" s="3" t="str">
        <f>CLEAN("CONST OPS/WATER SANITARY SEWER")</f>
        <v>CONST OPS/WATER SANITARY SEWER</v>
      </c>
      <c r="H1207" s="2" t="str">
        <f>CLEAN("LOC STR")</f>
        <v>LOC STR</v>
      </c>
      <c r="I1207" s="2" t="str">
        <f>CLEAN("206")</f>
        <v>206</v>
      </c>
    </row>
    <row r="1208" spans="1:9" x14ac:dyDescent="0.35">
      <c r="A1208" s="2" t="str">
        <f>CLEAN("ONEIDA")</f>
        <v>ONEIDA</v>
      </c>
      <c r="B1208" s="2" t="str">
        <f>CLEAN("CITY OF RHINELANDER")</f>
        <v>CITY OF RHINELANDER</v>
      </c>
      <c r="C1208" s="2" t="s">
        <v>667</v>
      </c>
      <c r="D1208" s="2" t="str">
        <f>CLEAN("1595-09-73")</f>
        <v>1595-09-73</v>
      </c>
      <c r="E1208" s="3" t="str">
        <f>CLEAN("BRADLEY - RHINELANDER")</f>
        <v>BRADLEY - RHINELANDER</v>
      </c>
      <c r="F1208" s="3" t="str">
        <f>CLEAN("NORTH RIFLE ROAD TO STH 47")</f>
        <v>NORTH RIFLE ROAD TO STH 47</v>
      </c>
      <c r="G1208" s="3" t="str">
        <f>CLEAN("CONST/PAVEMENT REPLACEMENT")</f>
        <v>CONST/PAVEMENT REPLACEMENT</v>
      </c>
      <c r="H1208" s="2" t="str">
        <f>CLEAN("USH 008")</f>
        <v>USH 008</v>
      </c>
      <c r="I1208" s="2" t="str">
        <f>CLEAN("303")</f>
        <v>303</v>
      </c>
    </row>
    <row r="1209" spans="1:9" x14ac:dyDescent="0.35">
      <c r="A1209" s="2" t="str">
        <f>CLEAN("ONEIDA")</f>
        <v>ONEIDA</v>
      </c>
      <c r="B1209" s="2" t="str">
        <f>CLEAN("CITY OF RHINELANDER")</f>
        <v>CITY OF RHINELANDER</v>
      </c>
      <c r="C1209" s="2" t="s">
        <v>670</v>
      </c>
      <c r="D1209" s="2" t="str">
        <f>CLEAN("9040-03-71")</f>
        <v>9040-03-71</v>
      </c>
      <c r="E1209" s="3" t="str">
        <f>CLEAN("RHINELANDER - EAGLE RIVER")</f>
        <v>RHINELANDER - EAGLE RIVER</v>
      </c>
      <c r="F1209" s="3" t="str">
        <f>CLEAN("USH 8 TO STEVENS STREET")</f>
        <v>USH 8 TO STEVENS STREET</v>
      </c>
      <c r="G1209" s="3" t="str">
        <f>CLEAN("CONST/PAVEMENT REPLACEMENT")</f>
        <v>CONST/PAVEMENT REPLACEMENT</v>
      </c>
      <c r="H1209" s="2" t="str">
        <f>CLEAN("STH 017")</f>
        <v>STH 017</v>
      </c>
      <c r="I1209" s="2" t="str">
        <f>CLEAN("303")</f>
        <v>303</v>
      </c>
    </row>
    <row r="1210" spans="1:9" x14ac:dyDescent="0.35">
      <c r="A1210" s="2" t="str">
        <f>CLEAN("ONEIDA")</f>
        <v>ONEIDA</v>
      </c>
      <c r="B1210" s="2" t="str">
        <f>CLEAN("CITY OF RHINELANDER")</f>
        <v>CITY OF RHINELANDER</v>
      </c>
      <c r="C1210" s="2" t="s">
        <v>1711</v>
      </c>
      <c r="D1210" s="2" t="str">
        <f>CLEAN("9877-00-00")</f>
        <v>9877-00-00</v>
      </c>
      <c r="E1210" s="3" t="str">
        <f>CLEAN("C RHINELANDER  COOLIDGE AVENUE")</f>
        <v>C RHINELANDER  COOLIDGE AVENUE</v>
      </c>
      <c r="F1210" s="3" t="str">
        <f>CLEAN("LINCOLN STREET TO TIMBER DRIVE")</f>
        <v>LINCOLN STREET TO TIMBER DRIVE</v>
      </c>
      <c r="G1210" s="3" t="str">
        <f>CLEAN("DESIGN OVERSITE/RECONSTRUCT")</f>
        <v>DESIGN OVERSITE/RECONSTRUCT</v>
      </c>
      <c r="H1210" s="2" t="str">
        <f>CLEAN("LOC STR")</f>
        <v>LOC STR</v>
      </c>
      <c r="I1210" s="2" t="str">
        <f>CLEAN("206")</f>
        <v>206</v>
      </c>
    </row>
    <row r="1211" spans="1:9" x14ac:dyDescent="0.35">
      <c r="A1211" s="2" t="str">
        <f>CLEAN("ONEIDA")</f>
        <v>ONEIDA</v>
      </c>
      <c r="B1211" s="2" t="str">
        <f>CLEAN("CITY OF RHINELANDER")</f>
        <v>CITY OF RHINELANDER</v>
      </c>
      <c r="C1211" s="2" t="s">
        <v>2011</v>
      </c>
      <c r="D1211" s="2" t="str">
        <f>CLEAN("9997-16-01")</f>
        <v>9997-16-01</v>
      </c>
      <c r="E1211" s="3" t="str">
        <f>CLEAN("C RHINELANDER  KEMP STREET")</f>
        <v>C RHINELANDER  KEMP STREET</v>
      </c>
      <c r="F1211" s="3" t="str">
        <f>CLEAN("WISCONSIN RIVER BRIDGE  B-43-0003")</f>
        <v>WISCONSIN RIVER BRIDGE  B-43-0003</v>
      </c>
      <c r="G1211" s="3" t="str">
        <f>CLEAN("DESIGN/FULL PSE/REPLACEMENT")</f>
        <v>DESIGN/FULL PSE/REPLACEMENT</v>
      </c>
      <c r="H1211" s="2" t="str">
        <f>CLEAN("LOC STR")</f>
        <v>LOC STR</v>
      </c>
      <c r="I1211" s="2" t="str">
        <f>CLEAN("205")</f>
        <v>205</v>
      </c>
    </row>
    <row r="1212" spans="1:9" x14ac:dyDescent="0.35">
      <c r="A1212" s="2" t="str">
        <f>CLEAN("BARRON")</f>
        <v>BARRON</v>
      </c>
      <c r="B1212" s="2" t="str">
        <f>CLEAN("CITY OF RICE LAKE")</f>
        <v>CITY OF RICE LAKE</v>
      </c>
      <c r="C1212" s="2" t="s">
        <v>1556</v>
      </c>
      <c r="D1212" s="2" t="str">
        <f>CLEAN("8829-00-02")</f>
        <v>8829-00-02</v>
      </c>
      <c r="E1212" s="3" t="str">
        <f>CLEAN("USH 53 - CTH SS")</f>
        <v>USH 53 - CTH SS</v>
      </c>
      <c r="F1212" s="3" t="str">
        <f>CLEAN("WISCONSIN AVENUE INTERSECTION")</f>
        <v>WISCONSIN AVENUE INTERSECTION</v>
      </c>
      <c r="G1212" s="3" t="str">
        <f>CLEAN("DESIGN - FULL PS&amp;E SAFETY")</f>
        <v>DESIGN - FULL PS&amp;E SAFETY</v>
      </c>
      <c r="H1212" s="2" t="str">
        <f>CLEAN("CTH O")</f>
        <v>CTH O</v>
      </c>
      <c r="I1212" s="2" t="str">
        <f>CLEAN("206")</f>
        <v>206</v>
      </c>
    </row>
    <row r="1213" spans="1:9" x14ac:dyDescent="0.35">
      <c r="A1213" s="2" t="str">
        <f>CLEAN("BARRON")</f>
        <v>BARRON</v>
      </c>
      <c r="B1213" s="2" t="str">
        <f>CLEAN("CITY OF RICE LAKE")</f>
        <v>CITY OF RICE LAKE</v>
      </c>
      <c r="C1213" s="2" t="s">
        <v>1145</v>
      </c>
      <c r="D1213" s="2" t="str">
        <f>CLEAN("8829-00-72")</f>
        <v>8829-00-72</v>
      </c>
      <c r="E1213" s="3" t="str">
        <f>CLEAN("USH 53 - CTH SS")</f>
        <v>USH 53 - CTH SS</v>
      </c>
      <c r="F1213" s="3" t="str">
        <f>CLEAN("WISCONSIN AVENUE INTERSECTION")</f>
        <v>WISCONSIN AVENUE INTERSECTION</v>
      </c>
      <c r="G1213" s="3" t="str">
        <f>CLEAN("CONSTR/SFTY/INTERSECTION IMPRVMNTS")</f>
        <v>CONSTR/SFTY/INTERSECTION IMPRVMNTS</v>
      </c>
      <c r="H1213" s="2" t="str">
        <f>CLEAN("CTH O")</f>
        <v>CTH O</v>
      </c>
      <c r="I1213" s="2" t="str">
        <f>CLEAN("206")</f>
        <v>206</v>
      </c>
    </row>
    <row r="1214" spans="1:9" x14ac:dyDescent="0.35">
      <c r="A1214" s="2" t="str">
        <f>CLEAN("BARRON")</f>
        <v>BARRON</v>
      </c>
      <c r="B1214" s="2" t="str">
        <f>CLEAN("CITY OF RICE LAKE")</f>
        <v>CITY OF RICE LAKE</v>
      </c>
      <c r="C1214" s="2" t="s">
        <v>1732</v>
      </c>
      <c r="D1214" s="2" t="str">
        <f>CLEAN("8997-00-24")</f>
        <v>8997-00-24</v>
      </c>
      <c r="E1214" s="3" t="str">
        <f>CLEAN("C RICE LAKE  KERN AVE")</f>
        <v>C RICE LAKE  KERN AVE</v>
      </c>
      <c r="F1214" s="3" t="str">
        <f>CLEAN("EAST SOUTH ST TO EAST SAWYER ST")</f>
        <v>EAST SOUTH ST TO EAST SAWYER ST</v>
      </c>
      <c r="G1214" s="3" t="str">
        <f>CLEAN("DESIGN/BIKE &amp; PED IMPROVEMENTS-TAP")</f>
        <v>DESIGN/BIKE &amp; PED IMPROVEMENTS-TAP</v>
      </c>
      <c r="H1214" s="2" t="str">
        <f>CLEAN("OFF SYS")</f>
        <v>OFF SYS</v>
      </c>
      <c r="I1214" s="2" t="str">
        <f>CLEAN("290")</f>
        <v>290</v>
      </c>
    </row>
    <row r="1215" spans="1:9" x14ac:dyDescent="0.35">
      <c r="A1215" s="2" t="str">
        <f>CLEAN("BARRON")</f>
        <v>BARRON</v>
      </c>
      <c r="B1215" s="2" t="str">
        <f>CLEAN("CITY OF RICE LAKE")</f>
        <v>CITY OF RICE LAKE</v>
      </c>
      <c r="C1215" s="2" t="s">
        <v>1677</v>
      </c>
      <c r="D1215" s="2" t="str">
        <f>CLEAN("8997-00-47")</f>
        <v>8997-00-47</v>
      </c>
      <c r="E1215" s="3" t="str">
        <f>CLEAN("C RICE LAKE  FRONTAGE ROAD")</f>
        <v>C RICE LAKE  FRONTAGE ROAD</v>
      </c>
      <c r="F1215" s="3" t="str">
        <f>CLEAN("SOUTH ACCESS RD/CTH O INTERSECTION")</f>
        <v>SOUTH ACCESS RD/CTH O INTERSECTION</v>
      </c>
      <c r="G1215" s="3" t="str">
        <f>CLEAN("DESIGN - FULL PS&amp;E/SAFETY")</f>
        <v>DESIGN - FULL PS&amp;E/SAFETY</v>
      </c>
      <c r="H1215" s="2" t="str">
        <f>CLEAN("LOC STR")</f>
        <v>LOC STR</v>
      </c>
      <c r="I1215" s="2" t="str">
        <f>CLEAN("206")</f>
        <v>206</v>
      </c>
    </row>
    <row r="1216" spans="1:9" x14ac:dyDescent="0.35">
      <c r="A1216" s="2" t="str">
        <f>CLEAN("RICHLAND")</f>
        <v>RICHLAND</v>
      </c>
      <c r="B1216" s="2" t="str">
        <f>CLEAN("CITY OF RICHLAND CENTER")</f>
        <v>CITY OF RICHLAND CENTER</v>
      </c>
      <c r="C1216" s="2" t="s">
        <v>2615</v>
      </c>
      <c r="D1216" s="2" t="str">
        <f>CLEAN("1640-03-08")</f>
        <v>1640-03-08</v>
      </c>
      <c r="E1216" s="3" t="str">
        <f>CLEAN("C RICHLAND CENTER  USH 14")</f>
        <v>C RICHLAND CENTER  USH 14</v>
      </c>
      <c r="F1216" s="3" t="str">
        <f>CLEAN("STH 80 TO BOHMANN DRIVE")</f>
        <v>STH 80 TO BOHMANN DRIVE</v>
      </c>
      <c r="G1216" s="3" t="str">
        <f>CLEAN("PE/ PVMT REPAIR")</f>
        <v>PE/ PVMT REPAIR</v>
      </c>
      <c r="H1216" s="2" t="str">
        <f>CLEAN("USH 014")</f>
        <v>USH 014</v>
      </c>
      <c r="I1216" s="2" t="str">
        <f t="shared" ref="I1216:I1222" si="200">CLEAN("303")</f>
        <v>303</v>
      </c>
    </row>
    <row r="1217" spans="1:9" x14ac:dyDescent="0.35">
      <c r="A1217" s="2" t="str">
        <f>CLEAN("RICHLAND")</f>
        <v>RICHLAND</v>
      </c>
      <c r="B1217" s="2" t="str">
        <f>CLEAN("CITY OF RICHLAND CENTER")</f>
        <v>CITY OF RICHLAND CENTER</v>
      </c>
      <c r="C1217" s="2" t="s">
        <v>712</v>
      </c>
      <c r="D1217" s="2" t="str">
        <f>CLEAN("1640-03-73")</f>
        <v>1640-03-73</v>
      </c>
      <c r="E1217" s="3" t="str">
        <f>CLEAN("RICHLAND CENTER - SPRING GREEN")</f>
        <v>RICHLAND CENTER - SPRING GREEN</v>
      </c>
      <c r="F1217" s="3" t="str">
        <f>CLEAN("BOHMANN DRIVE TO CTH O")</f>
        <v>BOHMANN DRIVE TO CTH O</v>
      </c>
      <c r="G1217" s="3" t="str">
        <f>CLEAN("CONST/PVRPLA")</f>
        <v>CONST/PVRPLA</v>
      </c>
      <c r="H1217" s="2" t="str">
        <f>CLEAN("USH 014")</f>
        <v>USH 014</v>
      </c>
      <c r="I1217" s="2" t="str">
        <f t="shared" si="200"/>
        <v>303</v>
      </c>
    </row>
    <row r="1218" spans="1:9" x14ac:dyDescent="0.35">
      <c r="A1218" s="2" t="str">
        <f>CLEAN("FOND DU LAC")</f>
        <v>FOND DU LAC</v>
      </c>
      <c r="B1218" s="2" t="str">
        <f>CLEAN("CITY OF RIPON")</f>
        <v>CITY OF RIPON</v>
      </c>
      <c r="C1218" s="2" t="s">
        <v>2470</v>
      </c>
      <c r="D1218" s="2" t="str">
        <f>CLEAN("1430-29-00")</f>
        <v>1430-29-00</v>
      </c>
      <c r="E1218" s="3" t="str">
        <f>CLEAN("FOND DU LAC/JACKSON ST C RIPON")</f>
        <v>FOND DU LAC/JACKSON ST C RIPON</v>
      </c>
      <c r="F1218" s="3" t="str">
        <f>CLEAN("UNION ST - DOUGLAS ST")</f>
        <v>UNION ST - DOUGLAS ST</v>
      </c>
      <c r="G1218" s="3" t="str">
        <f>CLEAN("DSN/FULL PSE/PVRPLA")</f>
        <v>DSN/FULL PSE/PVRPLA</v>
      </c>
      <c r="H1218" s="2" t="str">
        <f>CLEAN("STH 023")</f>
        <v>STH 023</v>
      </c>
      <c r="I1218" s="2" t="str">
        <f t="shared" si="200"/>
        <v>303</v>
      </c>
    </row>
    <row r="1219" spans="1:9" x14ac:dyDescent="0.35">
      <c r="A1219" s="2" t="str">
        <f>CLEAN("FOND DU LAC")</f>
        <v>FOND DU LAC</v>
      </c>
      <c r="B1219" s="2" t="str">
        <f>CLEAN("CITY OF RIPON")</f>
        <v>CITY OF RIPON</v>
      </c>
      <c r="C1219" s="2" t="s">
        <v>300</v>
      </c>
      <c r="D1219" s="2" t="str">
        <f>CLEAN("6090-14-71")</f>
        <v>6090-14-71</v>
      </c>
      <c r="E1219" s="3" t="str">
        <f>CLEAN("BRANDON-RIPON")</f>
        <v>BRANDON-RIPON</v>
      </c>
      <c r="F1219" s="3" t="str">
        <f>CLEAN("WVL BRANDON-STH 23")</f>
        <v>WVL BRANDON-STH 23</v>
      </c>
      <c r="G1219" s="3" t="str">
        <f>CLEAN("CONST OPS/RSRF10")</f>
        <v>CONST OPS/RSRF10</v>
      </c>
      <c r="H1219" s="2" t="str">
        <f>CLEAN("STH 049")</f>
        <v>STH 049</v>
      </c>
      <c r="I1219" s="2" t="str">
        <f t="shared" si="200"/>
        <v>303</v>
      </c>
    </row>
    <row r="1220" spans="1:9" x14ac:dyDescent="0.35">
      <c r="A1220" s="2" t="str">
        <f>CLEAN("FOND DU LAC")</f>
        <v>FOND DU LAC</v>
      </c>
      <c r="B1220" s="2" t="str">
        <f>CLEAN("CITY OF RIPON")</f>
        <v>CITY OF RIPON</v>
      </c>
      <c r="C1220" s="2" t="s">
        <v>2430</v>
      </c>
      <c r="D1220" s="2" t="str">
        <f>CLEAN("6100-01-00")</f>
        <v>6100-01-00</v>
      </c>
      <c r="E1220" s="3" t="str">
        <f>CLEAN("C RIPON  METOMEN STREET")</f>
        <v>C RIPON  METOMEN STREET</v>
      </c>
      <c r="F1220" s="3" t="str">
        <f>CLEAN("RINGSTAD DRIVE - FOND DU LAC STREET")</f>
        <v>RINGSTAD DRIVE - FOND DU LAC STREET</v>
      </c>
      <c r="G1220" s="3" t="str">
        <f>CLEAN("DSGN/FULL PSE/RSRF25")</f>
        <v>DSGN/FULL PSE/RSRF25</v>
      </c>
      <c r="H1220" s="2" t="str">
        <f>CLEAN("STH 044")</f>
        <v>STH 044</v>
      </c>
      <c r="I1220" s="2" t="str">
        <f t="shared" si="200"/>
        <v>303</v>
      </c>
    </row>
    <row r="1221" spans="1:9" x14ac:dyDescent="0.35">
      <c r="A1221" s="2" t="str">
        <f>CLEAN("FOND DU LAC")</f>
        <v>FOND DU LAC</v>
      </c>
      <c r="B1221" s="2" t="str">
        <f>CLEAN("CITY OF RIPON")</f>
        <v>CITY OF RIPON</v>
      </c>
      <c r="C1221" s="2" t="s">
        <v>2399</v>
      </c>
      <c r="D1221" s="2" t="str">
        <f>CLEAN("6185-03-00")</f>
        <v>6185-03-00</v>
      </c>
      <c r="E1221" s="3" t="str">
        <f>CLEAN("C RIPON  VARIOUS HIGHWAYS")</f>
        <v>C RIPON  VARIOUS HIGHWAYS</v>
      </c>
      <c r="F1221" s="3" t="str">
        <f>CLEAN("STH 23/44 PAVEMENT REPAIR")</f>
        <v>STH 23/44 PAVEMENT REPAIR</v>
      </c>
      <c r="G1221" s="3" t="str">
        <f>CLEAN("DSGN/FULL PSE/PSRS30")</f>
        <v>DSGN/FULL PSE/PSRS30</v>
      </c>
      <c r="H1221" s="2" t="str">
        <f>CLEAN("VAR HWY")</f>
        <v>VAR HWY</v>
      </c>
      <c r="I1221" s="2" t="str">
        <f t="shared" si="200"/>
        <v>303</v>
      </c>
    </row>
    <row r="1222" spans="1:9" x14ac:dyDescent="0.35">
      <c r="A1222" s="2" t="str">
        <f>CLEAN("ST. CROIX")</f>
        <v>ST. CROIX</v>
      </c>
      <c r="B1222" s="2" t="str">
        <f t="shared" ref="B1222:B1227" si="201">CLEAN("CITY OF RIVER FALLS")</f>
        <v>CITY OF RIVER FALLS</v>
      </c>
      <c r="C1222" s="2" t="s">
        <v>3173</v>
      </c>
      <c r="D1222" s="2" t="str">
        <f>CLEAN("7200-02-23")</f>
        <v>7200-02-23</v>
      </c>
      <c r="E1222" s="3" t="str">
        <f>CLEAN("C RIVER FALLS  STH 35 AND STH 65")</f>
        <v>C RIVER FALLS  STH 35 AND STH 65</v>
      </c>
      <c r="F1222" s="3" t="str">
        <f>CLEAN("DIVISION ST/CTH M (HOFFMAN PLACE)")</f>
        <v>DIVISION ST/CTH M (HOFFMAN PLACE)</v>
      </c>
      <c r="G1222" s="3" t="str">
        <f>CLEAN("REAL ESTATE ACQUISITION/RECONSTRUCT")</f>
        <v>REAL ESTATE ACQUISITION/RECONSTRUCT</v>
      </c>
      <c r="H1222" s="2" t="str">
        <f>CLEAN("STH 035")</f>
        <v>STH 035</v>
      </c>
      <c r="I1222" s="2" t="str">
        <f t="shared" si="200"/>
        <v>303</v>
      </c>
    </row>
    <row r="1223" spans="1:9" x14ac:dyDescent="0.35">
      <c r="A1223" s="2" t="str">
        <f>CLEAN("ST. CROIX")</f>
        <v>ST. CROIX</v>
      </c>
      <c r="B1223" s="2" t="str">
        <f t="shared" si="201"/>
        <v>CITY OF RIVER FALLS</v>
      </c>
      <c r="C1223" s="2" t="s">
        <v>1831</v>
      </c>
      <c r="D1223" s="2" t="str">
        <f>CLEAN("7900-00-00")</f>
        <v>7900-00-00</v>
      </c>
      <c r="E1223" s="3" t="str">
        <f>CLEAN("C RIVER FALLS  POWELL AVENUE")</f>
        <v>C RIVER FALLS  POWELL AVENUE</v>
      </c>
      <c r="F1223" s="3" t="str">
        <f>CLEAN("KINNICKINNIC RIVER BRIDGE P-55-0148")</f>
        <v>KINNICKINNIC RIVER BRIDGE P-55-0148</v>
      </c>
      <c r="G1223" s="3" t="str">
        <f>CLEAN("DESIGN/BRRHB/DECK REPLACEMENT")</f>
        <v>DESIGN/BRRHB/DECK REPLACEMENT</v>
      </c>
      <c r="H1223" s="2" t="str">
        <f>CLEAN("LOC STR")</f>
        <v>LOC STR</v>
      </c>
      <c r="I1223" s="2" t="str">
        <f>CLEAN("205")</f>
        <v>205</v>
      </c>
    </row>
    <row r="1224" spans="1:9" x14ac:dyDescent="0.35">
      <c r="A1224" s="2" t="str">
        <f>CLEAN("ST. CROIX")</f>
        <v>ST. CROIX</v>
      </c>
      <c r="B1224" s="2" t="str">
        <f t="shared" si="201"/>
        <v>CITY OF RIVER FALLS</v>
      </c>
      <c r="C1224" s="2" t="s">
        <v>1225</v>
      </c>
      <c r="D1224" s="2" t="str">
        <f>CLEAN("7900-00-70")</f>
        <v>7900-00-70</v>
      </c>
      <c r="E1224" s="3" t="str">
        <f>CLEAN("C RIVER FALLS  POWELL AVENUE")</f>
        <v>C RIVER FALLS  POWELL AVENUE</v>
      </c>
      <c r="F1224" s="3" t="str">
        <f>CLEAN("KINNICKINNIC RIVER BRIDGE P-55-0148")</f>
        <v>KINNICKINNIC RIVER BRIDGE P-55-0148</v>
      </c>
      <c r="G1224" s="3" t="str">
        <f>CLEAN("CONSTRUCTION/BRRHB/DECK REPLACEMENT")</f>
        <v>CONSTRUCTION/BRRHB/DECK REPLACEMENT</v>
      </c>
      <c r="H1224" s="2" t="str">
        <f>CLEAN("LOC STR")</f>
        <v>LOC STR</v>
      </c>
      <c r="I1224" s="2" t="str">
        <f>CLEAN("205")</f>
        <v>205</v>
      </c>
    </row>
    <row r="1225" spans="1:9" x14ac:dyDescent="0.35">
      <c r="A1225" s="2" t="str">
        <f>CLEAN("PIERCE")</f>
        <v>PIERCE</v>
      </c>
      <c r="B1225" s="2" t="str">
        <f t="shared" si="201"/>
        <v>CITY OF RIVER FALLS</v>
      </c>
      <c r="C1225" s="2" t="s">
        <v>3082</v>
      </c>
      <c r="D1225" s="2" t="str">
        <f>CLEAN("7994-00-35")</f>
        <v>7994-00-35</v>
      </c>
      <c r="E1225" s="3" t="str">
        <f>CLEAN("C RIVER FALLS  VARIOUS LOCATIONS")</f>
        <v>C RIVER FALLS  VARIOUS LOCATIONS</v>
      </c>
      <c r="F1225" s="3" t="str">
        <f>CLEAN("BICYCLE AND PEDESTRIAN PLAN")</f>
        <v>BICYCLE AND PEDESTRIAN PLAN</v>
      </c>
      <c r="G1225" s="3" t="str">
        <f>CLEAN("PLANNING/BIKE &amp; PEDESTRIAN PLAN/TAP")</f>
        <v>PLANNING/BIKE &amp; PEDESTRIAN PLAN/TAP</v>
      </c>
      <c r="H1225" s="2" t="str">
        <f>CLEAN("NON HWY")</f>
        <v>NON HWY</v>
      </c>
      <c r="I1225" s="2" t="str">
        <f>CLEAN("290")</f>
        <v>290</v>
      </c>
    </row>
    <row r="1226" spans="1:9" x14ac:dyDescent="0.35">
      <c r="A1226" s="2" t="str">
        <f>CLEAN("PIERCE")</f>
        <v>PIERCE</v>
      </c>
      <c r="B1226" s="2" t="str">
        <f t="shared" si="201"/>
        <v>CITY OF RIVER FALLS</v>
      </c>
      <c r="C1226" s="2" t="s">
        <v>1532</v>
      </c>
      <c r="D1226" s="2" t="str">
        <f>CLEAN("7994-00-49")</f>
        <v>7994-00-49</v>
      </c>
      <c r="E1226" s="3" t="str">
        <f>CLEAN("C RIVER FALLS  S WASSON LANE")</f>
        <v>C RIVER FALLS  S WASSON LANE</v>
      </c>
      <c r="F1226" s="3" t="str">
        <f>CLEAN("830TH AVE TO E CASCADE AVE")</f>
        <v>830TH AVE TO E CASCADE AVE</v>
      </c>
      <c r="G1226" s="3" t="str">
        <f>CLEAN("DESIGN - FULL PS&amp;E RECST")</f>
        <v>DESIGN - FULL PS&amp;E RECST</v>
      </c>
      <c r="H1226" s="2" t="str">
        <f>CLEAN("LOC STR")</f>
        <v>LOC STR</v>
      </c>
      <c r="I1226" s="2" t="str">
        <f>CLEAN("206")</f>
        <v>206</v>
      </c>
    </row>
    <row r="1227" spans="1:9" x14ac:dyDescent="0.35">
      <c r="A1227" s="2" t="str">
        <f>CLEAN("PIERCE")</f>
        <v>PIERCE</v>
      </c>
      <c r="B1227" s="2" t="str">
        <f t="shared" si="201"/>
        <v>CITY OF RIVER FALLS</v>
      </c>
      <c r="C1227" s="2" t="s">
        <v>1319</v>
      </c>
      <c r="D1227" s="2" t="str">
        <f>CLEAN("7994-00-51")</f>
        <v>7994-00-51</v>
      </c>
      <c r="E1227" s="3" t="str">
        <f>CLEAN("C RIVER FALLS  S WASSON LANE")</f>
        <v>C RIVER FALLS  S WASSON LANE</v>
      </c>
      <c r="F1227" s="3" t="str">
        <f>CLEAN("830TH AVE TO E CASCADE AVE")</f>
        <v>830TH AVE TO E CASCADE AVE</v>
      </c>
      <c r="G1227" s="3" t="str">
        <f>CLEAN("CONSTRUCTION/RECONSTRUCT")</f>
        <v>CONSTRUCTION/RECONSTRUCT</v>
      </c>
      <c r="H1227" s="2" t="str">
        <f>CLEAN("LOC STR")</f>
        <v>LOC STR</v>
      </c>
      <c r="I1227" s="2" t="str">
        <f>CLEAN("206")</f>
        <v>206</v>
      </c>
    </row>
    <row r="1228" spans="1:9" x14ac:dyDescent="0.35">
      <c r="A1228" s="2" t="str">
        <f>CLEAN("POLK")</f>
        <v>POLK</v>
      </c>
      <c r="B1228" s="2" t="str">
        <f>CLEAN("CITY OF SAINT CROIX FALLS")</f>
        <v>CITY OF SAINT CROIX FALLS</v>
      </c>
      <c r="C1228" s="2" t="s">
        <v>1632</v>
      </c>
      <c r="D1228" s="2" t="str">
        <f>CLEAN("8418-00-00")</f>
        <v>8418-00-00</v>
      </c>
      <c r="E1228" s="3" t="str">
        <f>CLEAN("C ST CROIX FALLS  THOMPSON PARKWAY")</f>
        <v>C ST CROIX FALLS  THOMPSON PARKWAY</v>
      </c>
      <c r="F1228" s="3" t="str">
        <f>CLEAN("KENTUCKY ST TO LOUISIANA ST")</f>
        <v>KENTUCKY ST TO LOUISIANA ST</v>
      </c>
      <c r="G1228" s="3" t="str">
        <f>CLEAN("DESIGN - FULL PS&amp;E/PVRPLA")</f>
        <v>DESIGN - FULL PS&amp;E/PVRPLA</v>
      </c>
      <c r="H1228" s="2" t="str">
        <f>CLEAN("LOC STR")</f>
        <v>LOC STR</v>
      </c>
      <c r="I1228" s="2" t="str">
        <f>CLEAN("206")</f>
        <v>206</v>
      </c>
    </row>
    <row r="1229" spans="1:9" x14ac:dyDescent="0.35">
      <c r="A1229" s="2" t="str">
        <f>CLEAN("POLK")</f>
        <v>POLK</v>
      </c>
      <c r="B1229" s="2" t="str">
        <f>CLEAN("CITY OF SAINT CROIX FALLS")</f>
        <v>CITY OF SAINT CROIX FALLS</v>
      </c>
      <c r="C1229" s="2" t="s">
        <v>1281</v>
      </c>
      <c r="D1229" s="2" t="str">
        <f>CLEAN("8840-00-70")</f>
        <v>8840-00-70</v>
      </c>
      <c r="E1229" s="3" t="str">
        <f>CLEAN("ST. CROIX FALLS - GRANTSBURG")</f>
        <v>ST. CROIX FALLS - GRANTSBURG</v>
      </c>
      <c r="F1229" s="3" t="str">
        <f>CLEAN("USH 8 TO 240' N OF MINNESOTA ST")</f>
        <v>USH 8 TO 240' N OF MINNESOTA ST</v>
      </c>
      <c r="G1229" s="3" t="str">
        <f>CLEAN("CONSTRUCTION/CIR/RESURFACE")</f>
        <v>CONSTRUCTION/CIR/RESURFACE</v>
      </c>
      <c r="H1229" s="2" t="str">
        <f>CLEAN("STH 087")</f>
        <v>STH 087</v>
      </c>
      <c r="I1229" s="2" t="str">
        <f>CLEAN("303")</f>
        <v>303</v>
      </c>
    </row>
    <row r="1230" spans="1:9" x14ac:dyDescent="0.35">
      <c r="A1230" s="2" t="str">
        <f>CLEAN("MILWAUKEE")</f>
        <v>MILWAUKEE</v>
      </c>
      <c r="B1230" s="2" t="str">
        <f>CLEAN("CITY OF SAINT FRANCIS")</f>
        <v>CITY OF SAINT FRANCIS</v>
      </c>
      <c r="C1230" s="2" t="s">
        <v>2770</v>
      </c>
      <c r="D1230" s="2" t="str">
        <f>CLEAN("2990-00-01")</f>
        <v>2990-00-01</v>
      </c>
      <c r="E1230" s="3" t="str">
        <f>CLEAN("C ST FRANCIS  KINNICKINNIC AVE")</f>
        <v>C ST FRANCIS  KINNICKINNIC AVE</v>
      </c>
      <c r="F1230" s="3" t="str">
        <f>CLEAN("E LUNHAM AVE TO E HOWARD AVE")</f>
        <v>E LUNHAM AVE TO E HOWARD AVE</v>
      </c>
      <c r="G1230" s="3" t="str">
        <f>CLEAN("PE/FULL PS&amp;E/RESURFACE")</f>
        <v>PE/FULL PS&amp;E/RESURFACE</v>
      </c>
      <c r="H1230" s="2" t="str">
        <f>CLEAN("LOC STR")</f>
        <v>LOC STR</v>
      </c>
      <c r="I1230" s="2" t="str">
        <f>CLEAN("206")</f>
        <v>206</v>
      </c>
    </row>
    <row r="1231" spans="1:9" x14ac:dyDescent="0.35">
      <c r="A1231" s="2" t="str">
        <f>CLEAN("MILWAUKEE")</f>
        <v>MILWAUKEE</v>
      </c>
      <c r="B1231" s="2" t="str">
        <f>CLEAN("CITY OF SAINT FRANCIS")</f>
        <v>CITY OF SAINT FRANCIS</v>
      </c>
      <c r="C1231" s="2" t="s">
        <v>962</v>
      </c>
      <c r="D1231" s="2" t="str">
        <f>CLEAN("2990-00-71")</f>
        <v>2990-00-71</v>
      </c>
      <c r="E1231" s="3" t="str">
        <f>CLEAN("C ST FRANCIS  KINNICKINNIC AVE")</f>
        <v>C ST FRANCIS  KINNICKINNIC AVE</v>
      </c>
      <c r="F1231" s="3" t="str">
        <f>CLEAN("E LUNHAM AVE TO E HOWARD AVE")</f>
        <v>E LUNHAM AVE TO E HOWARD AVE</v>
      </c>
      <c r="G1231" s="3" t="str">
        <f>CLEAN("CONST/RESURFACE")</f>
        <v>CONST/RESURFACE</v>
      </c>
      <c r="H1231" s="2" t="str">
        <f>CLEAN("LOC STR")</f>
        <v>LOC STR</v>
      </c>
      <c r="I1231" s="2" t="str">
        <f>CLEAN("206")</f>
        <v>206</v>
      </c>
    </row>
    <row r="1232" spans="1:9" x14ac:dyDescent="0.35">
      <c r="A1232" s="2" t="str">
        <f>CLEAN("MILWAUKEE")</f>
        <v>MILWAUKEE</v>
      </c>
      <c r="B1232" s="2" t="str">
        <f>CLEAN("CITY OF SAINT FRANCIS")</f>
        <v>CITY OF SAINT FRANCIS</v>
      </c>
      <c r="C1232" s="2" t="s">
        <v>961</v>
      </c>
      <c r="D1232" s="2" t="str">
        <f>CLEAN("2990-00-81")</f>
        <v>2990-00-81</v>
      </c>
      <c r="E1232" s="3" t="str">
        <f>CLEAN("C ST FRANCIS  KINNICKINNIC AVE")</f>
        <v>C ST FRANCIS  KINNICKINNIC AVE</v>
      </c>
      <c r="F1232" s="3" t="str">
        <f>CLEAN("E LUNHAM AVE TO E HOWARD AVE")</f>
        <v>E LUNHAM AVE TO E HOWARD AVE</v>
      </c>
      <c r="G1232" s="3" t="str">
        <f>CLEAN("CONST/RESURFACE")</f>
        <v>CONST/RESURFACE</v>
      </c>
      <c r="H1232" s="2" t="str">
        <f>CLEAN("LOC STR")</f>
        <v>LOC STR</v>
      </c>
      <c r="I1232" s="2" t="str">
        <f>CLEAN("206")</f>
        <v>206</v>
      </c>
    </row>
    <row r="1233" spans="1:9" x14ac:dyDescent="0.35">
      <c r="A1233" s="2" t="str">
        <f>CLEAN("MILWAUKEE")</f>
        <v>MILWAUKEE</v>
      </c>
      <c r="B1233" s="2" t="str">
        <f>CLEAN("CITY OF SAINT FRANCIS")</f>
        <v>CITY OF SAINT FRANCIS</v>
      </c>
      <c r="C1233" s="2" t="s">
        <v>3357</v>
      </c>
      <c r="D1233" s="2" t="str">
        <f>CLEAN("3700-06-00")</f>
        <v>3700-06-00</v>
      </c>
      <c r="E1233" s="3" t="str">
        <f>CLEAN("HOWARD AVENUE INTERSECTIONS")</f>
        <v>HOWARD AVENUE INTERSECTIONS</v>
      </c>
      <c r="F1233" s="3" t="str">
        <f>CLEAN("794  PENNSYLVANIA  KINNICKINNIC")</f>
        <v>794  PENNSYLVANIA  KINNICKINNIC</v>
      </c>
      <c r="G1233" s="3" t="str">
        <f>CLEAN("TRAFFIC SIGNAL/FLASHERS")</f>
        <v>TRAFFIC SIGNAL/FLASHERS</v>
      </c>
      <c r="H1233" s="2" t="str">
        <f>CLEAN("STH 032")</f>
        <v>STH 032</v>
      </c>
      <c r="I1233" s="2" t="str">
        <f>CLEAN("305")</f>
        <v>305</v>
      </c>
    </row>
    <row r="1234" spans="1:9" x14ac:dyDescent="0.35">
      <c r="A1234" s="2" t="str">
        <f>CLEAN("MARATHON")</f>
        <v>MARATHON</v>
      </c>
      <c r="B1234" s="2" t="str">
        <f>CLEAN("CITY OF SCHOFIELD")</f>
        <v>CITY OF SCHOFIELD</v>
      </c>
      <c r="C1234" s="2" t="s">
        <v>1863</v>
      </c>
      <c r="D1234" s="2" t="str">
        <f>CLEAN("6999-14-04")</f>
        <v>6999-14-04</v>
      </c>
      <c r="E1234" s="3" t="str">
        <f>CLEAN("EAU CLAIRE RVR BIKE/PED STUDY")</f>
        <v>EAU CLAIRE RVR BIKE/PED STUDY</v>
      </c>
      <c r="F1234" s="3" t="str">
        <f>CLEAN("C SCHOFIELD EAU CLAIRE RVR CROSSING")</f>
        <v>C SCHOFIELD EAU CLAIRE RVR CROSSING</v>
      </c>
      <c r="G1234" s="3" t="str">
        <f>CLEAN("DESIGN/FEASIBILITY STUDY")</f>
        <v>DESIGN/FEASIBILITY STUDY</v>
      </c>
      <c r="H1234" s="2" t="str">
        <f>CLEAN("NON HWY")</f>
        <v>NON HWY</v>
      </c>
      <c r="I1234" s="2" t="str">
        <f>CLEAN("290")</f>
        <v>290</v>
      </c>
    </row>
    <row r="1235" spans="1:9" x14ac:dyDescent="0.35">
      <c r="A1235" s="2" t="str">
        <f>CLEAN("MARATHON")</f>
        <v>MARATHON</v>
      </c>
      <c r="B1235" s="2" t="str">
        <f>CLEAN("CITY OF SCHOFIELD")</f>
        <v>CITY OF SCHOFIELD</v>
      </c>
      <c r="C1235" s="2" t="s">
        <v>2288</v>
      </c>
      <c r="D1235" s="2" t="str">
        <f>CLEAN("6999-14-05")</f>
        <v>6999-14-05</v>
      </c>
      <c r="E1235" s="3" t="str">
        <f>CLEAN("BUS 51 BIKE/PED BRIDGE/TRAIL")</f>
        <v>BUS 51 BIKE/PED BRIDGE/TRAIL</v>
      </c>
      <c r="F1235" s="3" t="str">
        <f>CLEAN("SUMMER STREET TO ROSS AVENUE")</f>
        <v>SUMMER STREET TO ROSS AVENUE</v>
      </c>
      <c r="G1235" s="3" t="str">
        <f>CLEAN("DESIGN/TAP/MISC")</f>
        <v>DESIGN/TAP/MISC</v>
      </c>
      <c r="H1235" s="2" t="str">
        <f>CLEAN("NON HWY")</f>
        <v>NON HWY</v>
      </c>
      <c r="I1235" s="2" t="str">
        <f>CLEAN("290")</f>
        <v>290</v>
      </c>
    </row>
    <row r="1236" spans="1:9" x14ac:dyDescent="0.35">
      <c r="A1236" s="2" t="str">
        <f>CLEAN("MARATHON")</f>
        <v>MARATHON</v>
      </c>
      <c r="B1236" s="2" t="str">
        <f>CLEAN("CITY OF SCHOFIELD")</f>
        <v>CITY OF SCHOFIELD</v>
      </c>
      <c r="C1236" s="2" t="s">
        <v>1066</v>
      </c>
      <c r="D1236" s="2" t="str">
        <f>CLEAN("6999-14-75")</f>
        <v>6999-14-75</v>
      </c>
      <c r="E1236" s="3" t="str">
        <f>CLEAN("BUS 51 BIKE/PED BRIDGE/TRAIL")</f>
        <v>BUS 51 BIKE/PED BRIDGE/TRAIL</v>
      </c>
      <c r="F1236" s="3" t="str">
        <f>CLEAN("SUMMER STREET TO ROSS AVENUE")</f>
        <v>SUMMER STREET TO ROSS AVENUE</v>
      </c>
      <c r="G1236" s="3" t="str">
        <f>CLEAN("CONST/TAP/MISC")</f>
        <v>CONST/TAP/MISC</v>
      </c>
      <c r="H1236" s="2" t="str">
        <f>CLEAN("NON HWY")</f>
        <v>NON HWY</v>
      </c>
      <c r="I1236" s="2" t="str">
        <f>CLEAN("290")</f>
        <v>290</v>
      </c>
    </row>
    <row r="1237" spans="1:9" x14ac:dyDescent="0.35">
      <c r="A1237" s="2" t="str">
        <f>CLEAN("MARATHON")</f>
        <v>MARATHON</v>
      </c>
      <c r="B1237" s="2" t="str">
        <f>CLEAN("CITY OF SCHOFIELD")</f>
        <v>CITY OF SCHOFIELD</v>
      </c>
      <c r="C1237" s="2" t="s">
        <v>1910</v>
      </c>
      <c r="D1237" s="2" t="str">
        <f>CLEAN("6999-18-13")</f>
        <v>6999-18-13</v>
      </c>
      <c r="E1237" s="3" t="str">
        <f>CLEAN("C SCHOFIELD  GRAND AVENUE")</f>
        <v>C SCHOFIELD  GRAND AVENUE</v>
      </c>
      <c r="F1237" s="3" t="str">
        <f>CLEAN("EAU CLAIRE RVR BRDGE TO LAKEVIEW DR")</f>
        <v>EAU CLAIRE RVR BRDGE TO LAKEVIEW DR</v>
      </c>
      <c r="G1237" s="3" t="str">
        <f>CLEAN("DESIGN/FULL PSE/PVRPLA")</f>
        <v>DESIGN/FULL PSE/PVRPLA</v>
      </c>
      <c r="H1237" s="2" t="str">
        <f>CLEAN("BUS 051")</f>
        <v>BUS 051</v>
      </c>
      <c r="I1237" s="2" t="str">
        <f>CLEAN("303")</f>
        <v>303</v>
      </c>
    </row>
    <row r="1238" spans="1:9" x14ac:dyDescent="0.35">
      <c r="A1238" s="2" t="str">
        <f>CLEAN("OUTAGAMIE")</f>
        <v>OUTAGAMIE</v>
      </c>
      <c r="B1238" s="2" t="str">
        <f>CLEAN("CITY OF SEYMOUR")</f>
        <v>CITY OF SEYMOUR</v>
      </c>
      <c r="C1238" s="2" t="s">
        <v>293</v>
      </c>
      <c r="D1238" s="2" t="str">
        <f>CLEAN("6230-20-71")</f>
        <v>6230-20-71</v>
      </c>
      <c r="E1238" s="3" t="str">
        <f>CLEAN("SEYMOUR-GREEN BAY")</f>
        <v>SEYMOUR-GREEN BAY</v>
      </c>
      <c r="F1238" s="3" t="str">
        <f>CLEAN("FRENCH ROAD-SEMINARY ROAD")</f>
        <v>FRENCH ROAD-SEMINARY ROAD</v>
      </c>
      <c r="G1238" s="3" t="str">
        <f>CLEAN("CONST OPS/RESURF")</f>
        <v>CONST OPS/RESURF</v>
      </c>
      <c r="H1238" s="2" t="str">
        <f>CLEAN("STH 054")</f>
        <v>STH 054</v>
      </c>
      <c r="I1238" s="2" t="str">
        <f>CLEAN("303")</f>
        <v>303</v>
      </c>
    </row>
    <row r="1239" spans="1:9" x14ac:dyDescent="0.35">
      <c r="A1239" s="2" t="str">
        <f t="shared" ref="A1239:A1248" si="202">CLEAN("SHAWANO")</f>
        <v>SHAWANO</v>
      </c>
      <c r="B1239" s="2" t="str">
        <f t="shared" ref="B1239:B1248" si="203">CLEAN("CITY OF SHAWANO")</f>
        <v>CITY OF SHAWANO</v>
      </c>
      <c r="C1239" s="2" t="s">
        <v>2557</v>
      </c>
      <c r="D1239" s="2" t="str">
        <f>CLEAN("3700-40-38")</f>
        <v>3700-40-38</v>
      </c>
      <c r="E1239" s="3" t="str">
        <f>CLEAN("C SHAWANO  SIGNAL REHABILITATION")</f>
        <v>C SHAWANO  SIGNAL REHABILITATION</v>
      </c>
      <c r="F1239" s="3" t="str">
        <f>CLEAN("WOODLAWN DRIVE INTERSECTION")</f>
        <v>WOODLAWN DRIVE INTERSECTION</v>
      </c>
      <c r="G1239" s="3" t="str">
        <f>CLEAN("ITS/DESIGN/STANDALONE PROGRAM")</f>
        <v>ITS/DESIGN/STANDALONE PROGRAM</v>
      </c>
      <c r="H1239" s="2" t="str">
        <f>CLEAN("STH 022")</f>
        <v>STH 022</v>
      </c>
      <c r="I1239" s="2" t="str">
        <f>CLEAN("305")</f>
        <v>305</v>
      </c>
    </row>
    <row r="1240" spans="1:9" x14ac:dyDescent="0.35">
      <c r="A1240" s="2" t="str">
        <f t="shared" si="202"/>
        <v>SHAWANO</v>
      </c>
      <c r="B1240" s="2" t="str">
        <f t="shared" si="203"/>
        <v>CITY OF SHAWANO</v>
      </c>
      <c r="C1240" s="2" t="s">
        <v>2549</v>
      </c>
      <c r="D1240" s="2" t="str">
        <f>CLEAN("3700-40-39")</f>
        <v>3700-40-39</v>
      </c>
      <c r="E1240" s="3" t="str">
        <f>CLEAN("C SHAWANO  SIGNAL REHABILITATION")</f>
        <v>C SHAWANO  SIGNAL REHABILITATION</v>
      </c>
      <c r="F1240" s="3" t="str">
        <f>CLEAN("WOODLAWN DRIVE INTERSECTION")</f>
        <v>WOODLAWN DRIVE INTERSECTION</v>
      </c>
      <c r="G1240" s="3" t="str">
        <f>CLEAN("ITS/CONST/STANDALONE PROGRAM")</f>
        <v>ITS/CONST/STANDALONE PROGRAM</v>
      </c>
      <c r="H1240" s="2" t="str">
        <f>CLEAN("STH 022")</f>
        <v>STH 022</v>
      </c>
      <c r="I1240" s="2" t="str">
        <f>CLEAN("305")</f>
        <v>305</v>
      </c>
    </row>
    <row r="1241" spans="1:9" x14ac:dyDescent="0.35">
      <c r="A1241" s="2" t="str">
        <f t="shared" si="202"/>
        <v>SHAWANO</v>
      </c>
      <c r="B1241" s="2" t="str">
        <f t="shared" si="203"/>
        <v>CITY OF SHAWANO</v>
      </c>
      <c r="C1241" s="2" t="s">
        <v>3373</v>
      </c>
      <c r="D1241" s="2" t="str">
        <f>CLEAN("3700-40-47")</f>
        <v>3700-40-47</v>
      </c>
      <c r="E1241" s="3" t="str">
        <f>CLEAN("C SHAWANO  SIGNAL REHABILITATION")</f>
        <v>C SHAWANO  SIGNAL REHABILITATION</v>
      </c>
      <c r="F1241" s="3" t="str">
        <f>CLEAN("STH 22/47/55/LINCOLN ST INTERSECT")</f>
        <v>STH 22/47/55/LINCOLN ST INTERSECT</v>
      </c>
      <c r="G1241" s="3" t="str">
        <f>CLEAN("TRF OPS/ITS/STANDALONE PROGRAM")</f>
        <v>TRF OPS/ITS/STANDALONE PROGRAM</v>
      </c>
      <c r="H1241" s="2" t="str">
        <f>CLEAN("VAR HWY")</f>
        <v>VAR HWY</v>
      </c>
      <c r="I1241" s="2" t="str">
        <f>CLEAN("305")</f>
        <v>305</v>
      </c>
    </row>
    <row r="1242" spans="1:9" x14ac:dyDescent="0.35">
      <c r="A1242" s="2" t="str">
        <f t="shared" si="202"/>
        <v>SHAWANO</v>
      </c>
      <c r="B1242" s="2" t="str">
        <f t="shared" si="203"/>
        <v>CITY OF SHAWANO</v>
      </c>
      <c r="C1242" s="2" t="s">
        <v>3372</v>
      </c>
      <c r="D1242" s="2" t="str">
        <f>CLEAN("3700-40-48")</f>
        <v>3700-40-48</v>
      </c>
      <c r="E1242" s="3" t="str">
        <f>CLEAN("C SHAWANO  SIGNAL REHABILITATION")</f>
        <v>C SHAWANO  SIGNAL REHABILITATION</v>
      </c>
      <c r="F1242" s="3" t="str">
        <f>CLEAN("STH 22/47/55/FAIRVIEW AVE INTERSECT")</f>
        <v>STH 22/47/55/FAIRVIEW AVE INTERSECT</v>
      </c>
      <c r="G1242" s="3" t="str">
        <f>CLEAN("TRF OPS/ITS/STANDALONE PROGRAM")</f>
        <v>TRF OPS/ITS/STANDALONE PROGRAM</v>
      </c>
      <c r="H1242" s="2" t="str">
        <f>CLEAN("VAR HWY")</f>
        <v>VAR HWY</v>
      </c>
      <c r="I1242" s="2" t="str">
        <f>CLEAN("305")</f>
        <v>305</v>
      </c>
    </row>
    <row r="1243" spans="1:9" x14ac:dyDescent="0.35">
      <c r="A1243" s="2" t="str">
        <f t="shared" si="202"/>
        <v>SHAWANO</v>
      </c>
      <c r="B1243" s="2" t="str">
        <f t="shared" si="203"/>
        <v>CITY OF SHAWANO</v>
      </c>
      <c r="C1243" s="2" t="s">
        <v>2253</v>
      </c>
      <c r="D1243" s="2" t="str">
        <f>CLEAN("6997-04-00")</f>
        <v>6997-04-00</v>
      </c>
      <c r="E1243" s="3" t="str">
        <f>CLEAN("C SHAWANO  E FIFTH STREET")</f>
        <v>C SHAWANO  E FIFTH STREET</v>
      </c>
      <c r="F1243" s="3" t="str">
        <f>CLEAN("N MAIN STREET TO N HAMLIN STREET")</f>
        <v>N MAIN STREET TO N HAMLIN STREET</v>
      </c>
      <c r="G1243" s="3" t="str">
        <f>CLEAN("DESIGN/RECONSTRUCT")</f>
        <v>DESIGN/RECONSTRUCT</v>
      </c>
      <c r="H1243" s="2" t="str">
        <f>CLEAN("LOC STR")</f>
        <v>LOC STR</v>
      </c>
      <c r="I1243" s="2" t="str">
        <f>CLEAN("206")</f>
        <v>206</v>
      </c>
    </row>
    <row r="1244" spans="1:9" x14ac:dyDescent="0.35">
      <c r="A1244" s="2" t="str">
        <f t="shared" si="202"/>
        <v>SHAWANO</v>
      </c>
      <c r="B1244" s="2" t="str">
        <f t="shared" si="203"/>
        <v>CITY OF SHAWANO</v>
      </c>
      <c r="C1244" s="2" t="s">
        <v>772</v>
      </c>
      <c r="D1244" s="2" t="str">
        <f>CLEAN("6997-04-70")</f>
        <v>6997-04-70</v>
      </c>
      <c r="E1244" s="3" t="str">
        <f>CLEAN("C SHAWANO  E FIFTH STREET")</f>
        <v>C SHAWANO  E FIFTH STREET</v>
      </c>
      <c r="F1244" s="3" t="str">
        <f>CLEAN("N MAIN STREET TO N HAMLIN STREET")</f>
        <v>N MAIN STREET TO N HAMLIN STREET</v>
      </c>
      <c r="G1244" s="3" t="str">
        <f>CLEAN("CONST/RECONSTRUCT")</f>
        <v>CONST/RECONSTRUCT</v>
      </c>
      <c r="H1244" s="2" t="str">
        <f>CLEAN("LOC STR")</f>
        <v>LOC STR</v>
      </c>
      <c r="I1244" s="2" t="str">
        <f>CLEAN("206")</f>
        <v>206</v>
      </c>
    </row>
    <row r="1245" spans="1:9" x14ac:dyDescent="0.35">
      <c r="A1245" s="2" t="str">
        <f t="shared" si="202"/>
        <v>SHAWANO</v>
      </c>
      <c r="B1245" s="2" t="str">
        <f t="shared" si="203"/>
        <v>CITY OF SHAWANO</v>
      </c>
      <c r="C1245" s="2" t="s">
        <v>1932</v>
      </c>
      <c r="D1245" s="2" t="str">
        <f>CLEAN("6997-05-00")</f>
        <v>6997-05-00</v>
      </c>
      <c r="E1245" s="3" t="str">
        <f>CLEAN("C SHAWANO  W GREEN BAY STREET")</f>
        <v>C SHAWANO  W GREEN BAY STREET</v>
      </c>
      <c r="F1245" s="3" t="str">
        <f>CLEAN("BARTLETT STREET TO MAIN STREET")</f>
        <v>BARTLETT STREET TO MAIN STREET</v>
      </c>
      <c r="G1245" s="3" t="str">
        <f>CLEAN("DESIGN/FULL PSE/RECONSTRUCT")</f>
        <v>DESIGN/FULL PSE/RECONSTRUCT</v>
      </c>
      <c r="H1245" s="2" t="str">
        <f>CLEAN("LOC STR")</f>
        <v>LOC STR</v>
      </c>
      <c r="I1245" s="2" t="str">
        <f>CLEAN("206")</f>
        <v>206</v>
      </c>
    </row>
    <row r="1246" spans="1:9" x14ac:dyDescent="0.35">
      <c r="A1246" s="2" t="str">
        <f t="shared" si="202"/>
        <v>SHAWANO</v>
      </c>
      <c r="B1246" s="2" t="str">
        <f t="shared" si="203"/>
        <v>CITY OF SHAWANO</v>
      </c>
      <c r="C1246" s="2" t="s">
        <v>661</v>
      </c>
      <c r="D1246" s="2" t="str">
        <f>CLEAN("6997-05-73")</f>
        <v>6997-05-73</v>
      </c>
      <c r="E1246" s="3" t="str">
        <f>CLEAN("C SHAWANO  S WAUKECHON STREET")</f>
        <v>C SHAWANO  S WAUKECHON STREET</v>
      </c>
      <c r="F1246" s="3" t="str">
        <f>CLEAN("E LIEG AVENUE TO E GREEN BAY STREET")</f>
        <v>E LIEG AVENUE TO E GREEN BAY STREET</v>
      </c>
      <c r="G1246" s="3" t="str">
        <f>CLEAN("CONST/PAVEMENT REPLACEMENT")</f>
        <v>CONST/PAVEMENT REPLACEMENT</v>
      </c>
      <c r="H1246" s="2" t="str">
        <f>CLEAN("LOC STR")</f>
        <v>LOC STR</v>
      </c>
      <c r="I1246" s="2" t="str">
        <f>CLEAN("206")</f>
        <v>206</v>
      </c>
    </row>
    <row r="1247" spans="1:9" x14ac:dyDescent="0.35">
      <c r="A1247" s="2" t="str">
        <f t="shared" si="202"/>
        <v>SHAWANO</v>
      </c>
      <c r="B1247" s="2" t="str">
        <f t="shared" si="203"/>
        <v>CITY OF SHAWANO</v>
      </c>
      <c r="C1247" s="2" t="s">
        <v>1928</v>
      </c>
      <c r="D1247" s="2" t="str">
        <f>CLEAN("9180-23-03")</f>
        <v>9180-23-03</v>
      </c>
      <c r="E1247" s="3" t="str">
        <f>CLEAN("C SHAWANO  SOUTH MAIN STREET")</f>
        <v>C SHAWANO  SOUTH MAIN STREET</v>
      </c>
      <c r="F1247" s="3" t="str">
        <f>CLEAN("ZINGLER AVENUE TO GREEN BAY STREET")</f>
        <v>ZINGLER AVENUE TO GREEN BAY STREET</v>
      </c>
      <c r="G1247" s="3" t="str">
        <f>CLEAN("DESIGN/FULL PSE/PVRPLA")</f>
        <v>DESIGN/FULL PSE/PVRPLA</v>
      </c>
      <c r="H1247" s="2" t="str">
        <f>CLEAN("STH 022")</f>
        <v>STH 022</v>
      </c>
      <c r="I1247" s="2" t="str">
        <f>CLEAN("303")</f>
        <v>303</v>
      </c>
    </row>
    <row r="1248" spans="1:9" x14ac:dyDescent="0.35">
      <c r="A1248" s="2" t="str">
        <f t="shared" si="202"/>
        <v>SHAWANO</v>
      </c>
      <c r="B1248" s="2" t="str">
        <f t="shared" si="203"/>
        <v>CITY OF SHAWANO</v>
      </c>
      <c r="C1248" s="2" t="s">
        <v>1913</v>
      </c>
      <c r="D1248" s="2" t="str">
        <f>CLEAN("9180-23-04")</f>
        <v>9180-23-04</v>
      </c>
      <c r="E1248" s="3" t="str">
        <f>CLEAN("C SHAWANO  NORTH MAIN STREET")</f>
        <v>C SHAWANO  NORTH MAIN STREET</v>
      </c>
      <c r="F1248" s="3" t="str">
        <f>CLEAN("GREEN BAY STREET TO SHAWANO CREEK")</f>
        <v>GREEN BAY STREET TO SHAWANO CREEK</v>
      </c>
      <c r="G1248" s="3" t="str">
        <f>CLEAN("DESIGN/FULL PSE/PVRPLA")</f>
        <v>DESIGN/FULL PSE/PVRPLA</v>
      </c>
      <c r="H1248" s="2" t="str">
        <f>CLEAN("STH 047")</f>
        <v>STH 047</v>
      </c>
      <c r="I1248" s="2" t="str">
        <f>CLEAN("303")</f>
        <v>303</v>
      </c>
    </row>
    <row r="1249" spans="1:9" x14ac:dyDescent="0.35">
      <c r="A1249" s="2" t="str">
        <f t="shared" ref="A1249:A1261" si="204">CLEAN("SHEBOYGAN")</f>
        <v>SHEBOYGAN</v>
      </c>
      <c r="B1249" s="2" t="str">
        <f t="shared" ref="B1249:B1258" si="205">CLEAN("CITY OF SHEBOYGAN")</f>
        <v>CITY OF SHEBOYGAN</v>
      </c>
      <c r="C1249" s="2" t="s">
        <v>3387</v>
      </c>
      <c r="D1249" s="2" t="str">
        <f>CLEAN("3700-30-46")</f>
        <v>3700-30-46</v>
      </c>
      <c r="E1249" s="3" t="str">
        <f>CLEAN("C SHEBOYGAN  KOHLER MEMORIAL DR")</f>
        <v>C SHEBOYGAN  KOHLER MEMORIAL DR</v>
      </c>
      <c r="F1249" s="3" t="str">
        <f>CLEAN("TAYLOR DR INTERSECTION SIGNAL REHAB")</f>
        <v>TAYLOR DR INTERSECTION SIGNAL REHAB</v>
      </c>
      <c r="G1249" s="3" t="str">
        <f>CLEAN("TRF OPS/TOSIG SIGNAL REHAB NE2303L")</f>
        <v>TRF OPS/TOSIG SIGNAL REHAB NE2303L</v>
      </c>
      <c r="H1249" s="2" t="str">
        <f>CLEAN("STH 023")</f>
        <v>STH 023</v>
      </c>
      <c r="I1249" s="2" t="str">
        <f>CLEAN("305")</f>
        <v>305</v>
      </c>
    </row>
    <row r="1250" spans="1:9" x14ac:dyDescent="0.35">
      <c r="A1250" s="2" t="str">
        <f t="shared" si="204"/>
        <v>SHEBOYGAN</v>
      </c>
      <c r="B1250" s="2" t="str">
        <f t="shared" si="205"/>
        <v>CITY OF SHEBOYGAN</v>
      </c>
      <c r="C1250" s="2" t="s">
        <v>3370</v>
      </c>
      <c r="D1250" s="2" t="str">
        <f>CLEAN("3700-30-47")</f>
        <v>3700-30-47</v>
      </c>
      <c r="E1250" s="3" t="str">
        <f>CLEAN("C SHEBOYGAN  BUSINESS DRIVE")</f>
        <v>C SHEBOYGAN  BUSINESS DRIVE</v>
      </c>
      <c r="F1250" s="3" t="str">
        <f>CLEAN("WASHINGTON AVE SIGNAL REHAB")</f>
        <v>WASHINGTON AVE SIGNAL REHAB</v>
      </c>
      <c r="G1250" s="3" t="str">
        <f>CLEAN("TRF DSN/TOSIG NE2401L")</f>
        <v>TRF DSN/TOSIG NE2401L</v>
      </c>
      <c r="H1250" s="2" t="str">
        <f>CLEAN("STH 028")</f>
        <v>STH 028</v>
      </c>
      <c r="I1250" s="2" t="str">
        <f>CLEAN("305")</f>
        <v>305</v>
      </c>
    </row>
    <row r="1251" spans="1:9" x14ac:dyDescent="0.35">
      <c r="A1251" s="2" t="str">
        <f t="shared" si="204"/>
        <v>SHEBOYGAN</v>
      </c>
      <c r="B1251" s="2" t="str">
        <f t="shared" si="205"/>
        <v>CITY OF SHEBOYGAN</v>
      </c>
      <c r="C1251" s="2" t="s">
        <v>3355</v>
      </c>
      <c r="D1251" s="2" t="str">
        <f>CLEAN("3700-30-50")</f>
        <v>3700-30-50</v>
      </c>
      <c r="E1251" s="3" t="str">
        <f>CLEAN("C SHEBOYGAN  BUSINESS DRIVE")</f>
        <v>C SHEBOYGAN  BUSINESS DRIVE</v>
      </c>
      <c r="F1251" s="3" t="str">
        <f>CLEAN("WASHINGTON AVE SIGNAL REHAB")</f>
        <v>WASHINGTON AVE SIGNAL REHAB</v>
      </c>
      <c r="G1251" s="3" t="str">
        <f>CLEAN("TRAFFIC OPS/TOSIG NE2401L")</f>
        <v>TRAFFIC OPS/TOSIG NE2401L</v>
      </c>
      <c r="H1251" s="2" t="str">
        <f>CLEAN("STH 028")</f>
        <v>STH 028</v>
      </c>
      <c r="I1251" s="2" t="str">
        <f>CLEAN("305")</f>
        <v>305</v>
      </c>
    </row>
    <row r="1252" spans="1:9" x14ac:dyDescent="0.35">
      <c r="A1252" s="2" t="str">
        <f t="shared" si="204"/>
        <v>SHEBOYGAN</v>
      </c>
      <c r="B1252" s="2" t="str">
        <f t="shared" si="205"/>
        <v>CITY OF SHEBOYGAN</v>
      </c>
      <c r="C1252" s="2" t="s">
        <v>3371</v>
      </c>
      <c r="D1252" s="2" t="str">
        <f>CLEAN("3700-30-58")</f>
        <v>3700-30-58</v>
      </c>
      <c r="E1252" s="3" t="str">
        <f>CLEAN("C SHEBOYGAN  KOHLER MEMORIAL DR")</f>
        <v>C SHEBOYGAN  KOHLER MEMORIAL DR</v>
      </c>
      <c r="F1252" s="3" t="str">
        <f>CLEAN("TAYLOR DR INTERSECTION SIGNAL REHAB")</f>
        <v>TAYLOR DR INTERSECTION SIGNAL REHAB</v>
      </c>
      <c r="G1252" s="3" t="str">
        <f>CLEAN("TRF DSN/TOSIG SIGNAL REHAB NE2303L")</f>
        <v>TRF DSN/TOSIG SIGNAL REHAB NE2303L</v>
      </c>
      <c r="H1252" s="2" t="str">
        <f>CLEAN("STH 023")</f>
        <v>STH 023</v>
      </c>
      <c r="I1252" s="2" t="str">
        <f>CLEAN("305")</f>
        <v>305</v>
      </c>
    </row>
    <row r="1253" spans="1:9" x14ac:dyDescent="0.35">
      <c r="A1253" s="2" t="str">
        <f t="shared" si="204"/>
        <v>SHEBOYGAN</v>
      </c>
      <c r="B1253" s="2" t="str">
        <f t="shared" si="205"/>
        <v>CITY OF SHEBOYGAN</v>
      </c>
      <c r="C1253" s="2" t="s">
        <v>3369</v>
      </c>
      <c r="D1253" s="2" t="str">
        <f>CLEAN("3700-30-59")</f>
        <v>3700-30-59</v>
      </c>
      <c r="E1253" s="3" t="str">
        <f>CLEAN("C SHEBOYGAN  BUSINESS DRIVE")</f>
        <v>C SHEBOYGAN  BUSINESS DRIVE</v>
      </c>
      <c r="F1253" s="3" t="str">
        <f>CLEAN("WASHINGTON AVE SIGNAL REHAB")</f>
        <v>WASHINGTON AVE SIGNAL REHAB</v>
      </c>
      <c r="G1253" s="3" t="str">
        <f>CLEAN("TRF DSN/TOSIG NE2401L")</f>
        <v>TRF DSN/TOSIG NE2401L</v>
      </c>
      <c r="H1253" s="2" t="str">
        <f>CLEAN("STH 028")</f>
        <v>STH 028</v>
      </c>
      <c r="I1253" s="2" t="str">
        <f>CLEAN("305")</f>
        <v>305</v>
      </c>
    </row>
    <row r="1254" spans="1:9" x14ac:dyDescent="0.35">
      <c r="A1254" s="2" t="str">
        <f t="shared" si="204"/>
        <v>SHEBOYGAN</v>
      </c>
      <c r="B1254" s="2" t="str">
        <f t="shared" si="205"/>
        <v>CITY OF SHEBOYGAN</v>
      </c>
      <c r="C1254" s="2" t="s">
        <v>3337</v>
      </c>
      <c r="D1254" s="2" t="str">
        <f>CLEAN("4640-01-72")</f>
        <v>4640-01-72</v>
      </c>
      <c r="E1254" s="3" t="str">
        <f>CLEAN("STH 28 TRAFFIC FLOW IMPROVEMENT")</f>
        <v>STH 28 TRAFFIC FLOW IMPROVEMENT</v>
      </c>
      <c r="F1254" s="3" t="str">
        <f>CLEAN("NORTH AVENUE TO INDIANA AVENUE")</f>
        <v>NORTH AVENUE TO INDIANA AVENUE</v>
      </c>
      <c r="G1254" s="3" t="str">
        <f>CLEAN("SIGNAL UPGRADE/LLC/CMAQ")</f>
        <v>SIGNAL UPGRADE/LLC/CMAQ</v>
      </c>
      <c r="H1254" s="2" t="str">
        <f>CLEAN("NON HWY")</f>
        <v>NON HWY</v>
      </c>
      <c r="I1254" s="2" t="str">
        <f>CLEAN("211")</f>
        <v>211</v>
      </c>
    </row>
    <row r="1255" spans="1:9" x14ac:dyDescent="0.35">
      <c r="A1255" s="2" t="str">
        <f t="shared" si="204"/>
        <v>SHEBOYGAN</v>
      </c>
      <c r="B1255" s="2" t="str">
        <f t="shared" si="205"/>
        <v>CITY OF SHEBOYGAN</v>
      </c>
      <c r="C1255" s="2" t="s">
        <v>2424</v>
      </c>
      <c r="D1255" s="2" t="str">
        <f>CLEAN("4640-07-00")</f>
        <v>4640-07-00</v>
      </c>
      <c r="E1255" s="3" t="str">
        <f>CLEAN("WASHINGTON/BUSINESS DR  C SHEBOYGAN")</f>
        <v>WASHINGTON/BUSINESS DR  C SHEBOYGAN</v>
      </c>
      <c r="F1255" s="3" t="str">
        <f>CLEAN("CTH TA - WILSON AVE")</f>
        <v>CTH TA - WILSON AVE</v>
      </c>
      <c r="G1255" s="3" t="str">
        <f>CLEAN("DSGN/FULL PSE/RSRF20")</f>
        <v>DSGN/FULL PSE/RSRF20</v>
      </c>
      <c r="H1255" s="2" t="str">
        <f>CLEAN("STH 028")</f>
        <v>STH 028</v>
      </c>
      <c r="I1255" s="2" t="str">
        <f>CLEAN("303")</f>
        <v>303</v>
      </c>
    </row>
    <row r="1256" spans="1:9" x14ac:dyDescent="0.35">
      <c r="A1256" s="2" t="str">
        <f t="shared" si="204"/>
        <v>SHEBOYGAN</v>
      </c>
      <c r="B1256" s="2" t="str">
        <f t="shared" si="205"/>
        <v>CITY OF SHEBOYGAN</v>
      </c>
      <c r="C1256" s="2" t="s">
        <v>3338</v>
      </c>
      <c r="D1256" s="2" t="str">
        <f>CLEAN("4650-02-71")</f>
        <v>4650-02-71</v>
      </c>
      <c r="E1256" s="3" t="str">
        <f>CLEAN("STH 23 TRAFFIC FLOW IMPROVEMENT")</f>
        <v>STH 23 TRAFFIC FLOW IMPROVEMENT</v>
      </c>
      <c r="F1256" s="3" t="str">
        <f>CLEAN("SOUTH TAYLOR DRIVE-NORTH 9TH STREET")</f>
        <v>SOUTH TAYLOR DRIVE-NORTH 9TH STREET</v>
      </c>
      <c r="G1256" s="3" t="str">
        <f>CLEAN("SIGNAL UPGRADE/LLC/CMAQ")</f>
        <v>SIGNAL UPGRADE/LLC/CMAQ</v>
      </c>
      <c r="H1256" s="2" t="str">
        <f>CLEAN("NON HWY")</f>
        <v>NON HWY</v>
      </c>
      <c r="I1256" s="2" t="str">
        <f>CLEAN("211")</f>
        <v>211</v>
      </c>
    </row>
    <row r="1257" spans="1:9" x14ac:dyDescent="0.35">
      <c r="A1257" s="2" t="str">
        <f t="shared" si="204"/>
        <v>SHEBOYGAN</v>
      </c>
      <c r="B1257" s="2" t="str">
        <f t="shared" si="205"/>
        <v>CITY OF SHEBOYGAN</v>
      </c>
      <c r="C1257" s="2" t="s">
        <v>2391</v>
      </c>
      <c r="D1257" s="2" t="str">
        <f>CLEAN("4996-01-82")</f>
        <v>4996-01-82</v>
      </c>
      <c r="E1257" s="3" t="str">
        <f>CLEAN("C SHEBOYGAN  NEW JERSEY AVE TRAIL")</f>
        <v>C SHEBOYGAN  NEW JERSEY AVE TRAIL</v>
      </c>
      <c r="F1257" s="3" t="str">
        <f>CLEAN("S TAYLOR DRIVE - RIVERPARK ROAD")</f>
        <v>S TAYLOR DRIVE - RIVERPARK ROAD</v>
      </c>
      <c r="G1257" s="3" t="str">
        <f>CLEAN("DSGN/FULL PSE/MISC")</f>
        <v>DSGN/FULL PSE/MISC</v>
      </c>
      <c r="H1257" s="2" t="str">
        <f>CLEAN("NON HWY")</f>
        <v>NON HWY</v>
      </c>
      <c r="I1257" s="2" t="str">
        <f>CLEAN("206")</f>
        <v>206</v>
      </c>
    </row>
    <row r="1258" spans="1:9" x14ac:dyDescent="0.35">
      <c r="A1258" s="2" t="str">
        <f t="shared" si="204"/>
        <v>SHEBOYGAN</v>
      </c>
      <c r="B1258" s="2" t="str">
        <f t="shared" si="205"/>
        <v>CITY OF SHEBOYGAN</v>
      </c>
      <c r="C1258" s="2" t="s">
        <v>2589</v>
      </c>
      <c r="D1258" s="2" t="str">
        <f>CLEAN("4996-26-02")</f>
        <v>4996-26-02</v>
      </c>
      <c r="E1258" s="3" t="str">
        <f>CLEAN("SHORELINE METRO TRANSIT SYSTEM")</f>
        <v>SHORELINE METRO TRANSIT SYSTEM</v>
      </c>
      <c r="F1258" s="3" t="str">
        <f>CLEAN("REVENUE ROLLING STOCK FY27")</f>
        <v>REVENUE ROLLING STOCK FY27</v>
      </c>
      <c r="G1258" s="3" t="str">
        <f>CLEAN("MISC/CMAQ/BUS PURCHASE")</f>
        <v>MISC/CMAQ/BUS PURCHASE</v>
      </c>
      <c r="H1258" s="2" t="str">
        <f>CLEAN("NON HWY")</f>
        <v>NON HWY</v>
      </c>
      <c r="I1258" s="2" t="str">
        <f>CLEAN("211")</f>
        <v>211</v>
      </c>
    </row>
    <row r="1259" spans="1:9" x14ac:dyDescent="0.35">
      <c r="A1259" s="2" t="str">
        <f t="shared" si="204"/>
        <v>SHEBOYGAN</v>
      </c>
      <c r="B1259" s="2" t="str">
        <f>CLEAN("CITY OF SHEBOYGAN FALLS")</f>
        <v>CITY OF SHEBOYGAN FALLS</v>
      </c>
      <c r="C1259" s="2" t="s">
        <v>2414</v>
      </c>
      <c r="D1259" s="2" t="str">
        <f>CLEAN("4200-06-00")</f>
        <v>4200-06-00</v>
      </c>
      <c r="E1259" s="3" t="str">
        <f>CLEAN("C SHEBOYGAN FALLS  FOND DU LAC AVE")</f>
        <v>C SHEBOYGAN FALLS  FOND DU LAC AVE</v>
      </c>
      <c r="F1259" s="3" t="str">
        <f>CLEAN("MAIN STREET TO OAK STREET")</f>
        <v>MAIN STREET TO OAK STREET</v>
      </c>
      <c r="G1259" s="3" t="str">
        <f>CLEAN("DSGN/FULL PSE/RECST")</f>
        <v>DSGN/FULL PSE/RECST</v>
      </c>
      <c r="H1259" s="2" t="str">
        <f>CLEAN("LOC STR")</f>
        <v>LOC STR</v>
      </c>
      <c r="I1259" s="2" t="str">
        <f>CLEAN("206")</f>
        <v>206</v>
      </c>
    </row>
    <row r="1260" spans="1:9" x14ac:dyDescent="0.35">
      <c r="A1260" s="2" t="str">
        <f t="shared" si="204"/>
        <v>SHEBOYGAN</v>
      </c>
      <c r="B1260" s="2" t="str">
        <f>CLEAN("CITY OF SHEBOYGAN FALLS")</f>
        <v>CITY OF SHEBOYGAN FALLS</v>
      </c>
      <c r="C1260" s="2" t="s">
        <v>2393</v>
      </c>
      <c r="D1260" s="2" t="str">
        <f>CLEAN("4277-03-00")</f>
        <v>4277-03-00</v>
      </c>
      <c r="E1260" s="3" t="str">
        <f>CLEAN("C SHEBOYGAN FALLS  STH 32 TRAIL")</f>
        <v>C SHEBOYGAN FALLS  STH 32 TRAIL</v>
      </c>
      <c r="F1260" s="3" t="str">
        <f>CLEAN("WILLOW DRIVE - HAMANN DRIVE")</f>
        <v>WILLOW DRIVE - HAMANN DRIVE</v>
      </c>
      <c r="G1260" s="3" t="str">
        <f>CLEAN("DSGN/FULL PSE/MISC/CRP")</f>
        <v>DSGN/FULL PSE/MISC/CRP</v>
      </c>
      <c r="H1260" s="2" t="str">
        <f>CLEAN("STH 032")</f>
        <v>STH 032</v>
      </c>
      <c r="I1260" s="2" t="str">
        <f>CLEAN("206")</f>
        <v>206</v>
      </c>
    </row>
    <row r="1261" spans="1:9" x14ac:dyDescent="0.35">
      <c r="A1261" s="2" t="str">
        <f t="shared" si="204"/>
        <v>SHEBOYGAN</v>
      </c>
      <c r="B1261" s="2" t="str">
        <f>CLEAN("CITY OF SHEBOYGAN FALLS")</f>
        <v>CITY OF SHEBOYGAN FALLS</v>
      </c>
      <c r="C1261" s="2" t="s">
        <v>2401</v>
      </c>
      <c r="D1261" s="2" t="str">
        <f>CLEAN("4540-18-00")</f>
        <v>4540-18-00</v>
      </c>
      <c r="E1261" s="3" t="str">
        <f>CLEAN("C SHEBOYGAN FALLS  STH 32")</f>
        <v>C SHEBOYGAN FALLS  STH 32</v>
      </c>
      <c r="F1261" s="3" t="str">
        <f>CLEAN("STH 28 - FOND DU LAC AVENUE")</f>
        <v>STH 28 - FOND DU LAC AVENUE</v>
      </c>
      <c r="G1261" s="3" t="str">
        <f>CLEAN("DSGN/FULL PSE/PVRPL")</f>
        <v>DSGN/FULL PSE/PVRPL</v>
      </c>
      <c r="H1261" s="2" t="str">
        <f>CLEAN("STH 032")</f>
        <v>STH 032</v>
      </c>
      <c r="I1261" s="2" t="str">
        <f>CLEAN("303")</f>
        <v>303</v>
      </c>
    </row>
    <row r="1262" spans="1:9" x14ac:dyDescent="0.35">
      <c r="A1262" s="2" t="str">
        <f>CLEAN("MONROE")</f>
        <v>MONROE</v>
      </c>
      <c r="B1262" s="2" t="str">
        <f>CLEAN("CITY OF SPARTA")</f>
        <v>CITY OF SPARTA</v>
      </c>
      <c r="C1262" s="2" t="s">
        <v>96</v>
      </c>
      <c r="D1262" s="2" t="str">
        <f>CLEAN("7016-00-05")</f>
        <v>7016-00-05</v>
      </c>
      <c r="E1262" s="3" t="str">
        <f>CLEAN("C SPARTA  MILWAUKEE AVENUE")</f>
        <v>C SPARTA  MILWAUKEE AVENUE</v>
      </c>
      <c r="F1262" s="3" t="str">
        <f>CLEAN("FARMERS VALLEY CRK BRIDGE B-41-0299")</f>
        <v>FARMERS VALLEY CRK BRIDGE B-41-0299</v>
      </c>
      <c r="G1262" s="3" t="str">
        <f>CLEAN("CONST OPS/BRIDGE REPLACEMENT")</f>
        <v>CONST OPS/BRIDGE REPLACEMENT</v>
      </c>
      <c r="H1262" s="2" t="str">
        <f>CLEAN("LOC STR")</f>
        <v>LOC STR</v>
      </c>
      <c r="I1262" s="2" t="str">
        <f>CLEAN("205")</f>
        <v>205</v>
      </c>
    </row>
    <row r="1263" spans="1:9" x14ac:dyDescent="0.35">
      <c r="A1263" s="2" t="str">
        <f>CLEAN("WASHBURN")</f>
        <v>WASHBURN</v>
      </c>
      <c r="B1263" s="2" t="str">
        <f>CLEAN("CITY OF SPOONER")</f>
        <v>CITY OF SPOONER</v>
      </c>
      <c r="C1263" s="2" t="s">
        <v>1148</v>
      </c>
      <c r="D1263" s="2" t="str">
        <f>CLEAN("1560-00-80")</f>
        <v>1560-00-80</v>
      </c>
      <c r="E1263" s="3" t="str">
        <f>CLEAN("SPOONER - HAYWARD")</f>
        <v>SPOONER - HAYWARD</v>
      </c>
      <c r="F1263" s="3" t="str">
        <f>CLEAN("GREENWOOD AVE TO POPLAR STREET")</f>
        <v>GREENWOOD AVE TO POPLAR STREET</v>
      </c>
      <c r="G1263" s="3" t="str">
        <f>CLEAN("CONSTR/WATER MAIN &amp; SANITARY SEWER")</f>
        <v>CONSTR/WATER MAIN &amp; SANITARY SEWER</v>
      </c>
      <c r="H1263" s="2" t="str">
        <f>CLEAN("USH 063")</f>
        <v>USH 063</v>
      </c>
      <c r="I1263" s="2" t="str">
        <f>CLEAN("303")</f>
        <v>303</v>
      </c>
    </row>
    <row r="1264" spans="1:9" x14ac:dyDescent="0.35">
      <c r="A1264" s="2" t="str">
        <f>CLEAN("WASHBURN")</f>
        <v>WASHBURN</v>
      </c>
      <c r="B1264" s="2" t="str">
        <f>CLEAN("CITY OF SPOONER")</f>
        <v>CITY OF SPOONER</v>
      </c>
      <c r="C1264" s="2" t="s">
        <v>1623</v>
      </c>
      <c r="D1264" s="2" t="str">
        <f>CLEAN("8050-00-02")</f>
        <v>8050-00-02</v>
      </c>
      <c r="E1264" s="3" t="str">
        <f>CLEAN("SIREN - STONE LAKE")</f>
        <v>SIREN - STONE LAKE</v>
      </c>
      <c r="F1264" s="3" t="str">
        <f>CLEAN("1350 FT W OF 1ST ST TO USH 53")</f>
        <v>1350 FT W OF 1ST ST TO USH 53</v>
      </c>
      <c r="G1264" s="3" t="str">
        <f>CLEAN("DESIGN - FULL PS&amp;E/PVRPLA")</f>
        <v>DESIGN - FULL PS&amp;E/PVRPLA</v>
      </c>
      <c r="H1264" s="2" t="str">
        <f>CLEAN("STH 070")</f>
        <v>STH 070</v>
      </c>
      <c r="I1264" s="2" t="str">
        <f>CLEAN("303")</f>
        <v>303</v>
      </c>
    </row>
    <row r="1265" spans="1:9" x14ac:dyDescent="0.35">
      <c r="A1265" s="2" t="str">
        <f>CLEAN("CHIPPEWA")</f>
        <v>CHIPPEWA</v>
      </c>
      <c r="B1265" s="2" t="str">
        <f>CLEAN("CITY OF STANLEY")</f>
        <v>CITY OF STANLEY</v>
      </c>
      <c r="C1265" s="2" t="s">
        <v>1740</v>
      </c>
      <c r="D1265" s="2" t="str">
        <f>CLEAN("8920-00-00")</f>
        <v>8920-00-00</v>
      </c>
      <c r="E1265" s="3" t="str">
        <f>CLEAN("C STANLEY  VARIOUS LOCATIONS")</f>
        <v>C STANLEY  VARIOUS LOCATIONS</v>
      </c>
      <c r="F1265" s="3" t="str">
        <f>CLEAN("STANLEY COMMUNITY TRAIL")</f>
        <v>STANLEY COMMUNITY TRAIL</v>
      </c>
      <c r="G1265" s="3" t="str">
        <f>CLEAN("DESIGN/BIKE &amp; PED TRAIL/PHASE 2-TAP")</f>
        <v>DESIGN/BIKE &amp; PED TRAIL/PHASE 2-TAP</v>
      </c>
      <c r="H1265" s="2" t="str">
        <f>CLEAN("OFF SYS")</f>
        <v>OFF SYS</v>
      </c>
      <c r="I1265" s="2" t="str">
        <f>CLEAN("290")</f>
        <v>290</v>
      </c>
    </row>
    <row r="1266" spans="1:9" x14ac:dyDescent="0.35">
      <c r="A1266" s="2" t="str">
        <f t="shared" ref="A1266:A1274" si="206">CLEAN("PORTAGE")</f>
        <v>PORTAGE</v>
      </c>
      <c r="B1266" s="2" t="str">
        <f t="shared" ref="B1266:B1274" si="207">CLEAN("CITY OF STEVENS POINT")</f>
        <v>CITY OF STEVENS POINT</v>
      </c>
      <c r="C1266" s="2" t="s">
        <v>1925</v>
      </c>
      <c r="D1266" s="2" t="str">
        <f>CLEAN("6998-08-01")</f>
        <v>6998-08-01</v>
      </c>
      <c r="E1266" s="3" t="str">
        <f>CLEAN("C STEVENS POINT  WEST CLARK STREET")</f>
        <v>C STEVENS POINT  WEST CLARK STREET</v>
      </c>
      <c r="F1266" s="3" t="str">
        <f>CLEAN("WEST GATES DR TO WEST KARNER STREET")</f>
        <v>WEST GATES DR TO WEST KARNER STREET</v>
      </c>
      <c r="G1266" s="3" t="str">
        <f>CLEAN("DESIGN/FULL PSE/PVRPLA")</f>
        <v>DESIGN/FULL PSE/PVRPLA</v>
      </c>
      <c r="H1266" s="2" t="str">
        <f>CLEAN("STH 066")</f>
        <v>STH 066</v>
      </c>
      <c r="I1266" s="2" t="str">
        <f>CLEAN("303")</f>
        <v>303</v>
      </c>
    </row>
    <row r="1267" spans="1:9" x14ac:dyDescent="0.35">
      <c r="A1267" s="2" t="str">
        <f t="shared" si="206"/>
        <v>PORTAGE</v>
      </c>
      <c r="B1267" s="2" t="str">
        <f t="shared" si="207"/>
        <v>CITY OF STEVENS POINT</v>
      </c>
      <c r="C1267" s="2" t="s">
        <v>1909</v>
      </c>
      <c r="D1267" s="2" t="str">
        <f>CLEAN("6280-00-01")</f>
        <v>6280-00-01</v>
      </c>
      <c r="E1267" s="3" t="str">
        <f>CLEAN("C STEVENS POINT  CLARK STREET")</f>
        <v>C STEVENS POINT  CLARK STREET</v>
      </c>
      <c r="F1267" s="3" t="str">
        <f>CLEAN("CTH HH TO DIVISION STREET")</f>
        <v>CTH HH TO DIVISION STREET</v>
      </c>
      <c r="G1267" s="3" t="str">
        <f>CLEAN("DESIGN/FULL PSE/PVRPLA")</f>
        <v>DESIGN/FULL PSE/PVRPLA</v>
      </c>
      <c r="H1267" s="2" t="str">
        <f>CLEAN("STH 066")</f>
        <v>STH 066</v>
      </c>
      <c r="I1267" s="2" t="str">
        <f>CLEAN("303")</f>
        <v>303</v>
      </c>
    </row>
    <row r="1268" spans="1:9" x14ac:dyDescent="0.35">
      <c r="A1268" s="2" t="str">
        <f t="shared" si="206"/>
        <v>PORTAGE</v>
      </c>
      <c r="B1268" s="2" t="str">
        <f t="shared" si="207"/>
        <v>CITY OF STEVENS POINT</v>
      </c>
      <c r="C1268" s="2" t="s">
        <v>2016</v>
      </c>
      <c r="D1268" s="2" t="str">
        <f>CLEAN("6280-00-02")</f>
        <v>6280-00-02</v>
      </c>
      <c r="E1268" s="3" t="str">
        <f>CLEAN("C STEVENS POINT  MAIN STREET")</f>
        <v>C STEVENS POINT  MAIN STREET</v>
      </c>
      <c r="F1268" s="3" t="str">
        <f>CLEAN("FRONTENAC AVE TO COUNTRY CLUB DRIVE")</f>
        <v>FRONTENAC AVE TO COUNTRY CLUB DRIVE</v>
      </c>
      <c r="G1268" s="3" t="str">
        <f>CLEAN("DESIGN/FULL PSE/RESURFACE")</f>
        <v>DESIGN/FULL PSE/RESURFACE</v>
      </c>
      <c r="H1268" s="2" t="str">
        <f>CLEAN("STH 066")</f>
        <v>STH 066</v>
      </c>
      <c r="I1268" s="2" t="str">
        <f>CLEAN("303")</f>
        <v>303</v>
      </c>
    </row>
    <row r="1269" spans="1:9" x14ac:dyDescent="0.35">
      <c r="A1269" s="2" t="str">
        <f t="shared" si="206"/>
        <v>PORTAGE</v>
      </c>
      <c r="B1269" s="2" t="str">
        <f t="shared" si="207"/>
        <v>CITY OF STEVENS POINT</v>
      </c>
      <c r="C1269" s="2" t="s">
        <v>1714</v>
      </c>
      <c r="D1269" s="2" t="str">
        <f>CLEAN("6998-13-01")</f>
        <v>6998-13-01</v>
      </c>
      <c r="E1269" s="3" t="str">
        <f>CLEAN("C STEVENS POINT  POST RD/CHURCH ST")</f>
        <v>C STEVENS POINT  POST RD/CHURCH ST</v>
      </c>
      <c r="F1269" s="3" t="str">
        <f>CLEAN("SOUTH CITY LIMITS TO MICHIGAN AVE")</f>
        <v>SOUTH CITY LIMITS TO MICHIGAN AVE</v>
      </c>
      <c r="G1269" s="3" t="str">
        <f>CLEAN("DESIGN OVERSITE/RECONSTRUCT")</f>
        <v>DESIGN OVERSITE/RECONSTRUCT</v>
      </c>
      <c r="H1269" s="2" t="str">
        <f t="shared" ref="H1269:H1274" si="208">CLEAN("LOC STR")</f>
        <v>LOC STR</v>
      </c>
      <c r="I1269" s="2" t="str">
        <f>CLEAN("206")</f>
        <v>206</v>
      </c>
    </row>
    <row r="1270" spans="1:9" x14ac:dyDescent="0.35">
      <c r="A1270" s="2" t="str">
        <f t="shared" si="206"/>
        <v>PORTAGE</v>
      </c>
      <c r="B1270" s="2" t="str">
        <f t="shared" si="207"/>
        <v>CITY OF STEVENS POINT</v>
      </c>
      <c r="C1270" s="2" t="s">
        <v>1717</v>
      </c>
      <c r="D1270" s="2" t="str">
        <f>CLEAN("6998-13-03")</f>
        <v>6998-13-03</v>
      </c>
      <c r="E1270" s="3" t="str">
        <f>CLEAN("C STEVENS POINT  WEST ZINDA DRIVE")</f>
        <v>C STEVENS POINT  WEST ZINDA DRIVE</v>
      </c>
      <c r="F1270" s="3" t="str">
        <f>CLEAN("ROCKY RUN CREEK BRIDGE B490061")</f>
        <v>ROCKY RUN CREEK BRIDGE B490061</v>
      </c>
      <c r="G1270" s="3" t="str">
        <f>CLEAN("DESIGN OVERSITE/REHAB/DECK OVERLAY")</f>
        <v>DESIGN OVERSITE/REHAB/DECK OVERLAY</v>
      </c>
      <c r="H1270" s="2" t="str">
        <f t="shared" si="208"/>
        <v>LOC STR</v>
      </c>
      <c r="I1270" s="2" t="str">
        <f>CLEAN("205")</f>
        <v>205</v>
      </c>
    </row>
    <row r="1271" spans="1:9" x14ac:dyDescent="0.35">
      <c r="A1271" s="2" t="str">
        <f t="shared" si="206"/>
        <v>PORTAGE</v>
      </c>
      <c r="B1271" s="2" t="str">
        <f t="shared" si="207"/>
        <v>CITY OF STEVENS POINT</v>
      </c>
      <c r="C1271" s="2" t="s">
        <v>777</v>
      </c>
      <c r="D1271" s="2" t="str">
        <f>CLEAN("6998-13-71")</f>
        <v>6998-13-71</v>
      </c>
      <c r="E1271" s="3" t="str">
        <f>CLEAN("C STEVENS POINT  POST RD/CHURCH ST")</f>
        <v>C STEVENS POINT  POST RD/CHURCH ST</v>
      </c>
      <c r="F1271" s="3" t="str">
        <f>CLEAN("SOUTH CITY LIMITS TO MICHIGAN AVE")</f>
        <v>SOUTH CITY LIMITS TO MICHIGAN AVE</v>
      </c>
      <c r="G1271" s="3" t="str">
        <f>CLEAN("CONST/RECONSTRUCT")</f>
        <v>CONST/RECONSTRUCT</v>
      </c>
      <c r="H1271" s="2" t="str">
        <f t="shared" si="208"/>
        <v>LOC STR</v>
      </c>
      <c r="I1271" s="2" t="str">
        <f>CLEAN("206")</f>
        <v>206</v>
      </c>
    </row>
    <row r="1272" spans="1:9" x14ac:dyDescent="0.35">
      <c r="A1272" s="2" t="str">
        <f t="shared" si="206"/>
        <v>PORTAGE</v>
      </c>
      <c r="B1272" s="2" t="str">
        <f t="shared" si="207"/>
        <v>CITY OF STEVENS POINT</v>
      </c>
      <c r="C1272" s="2" t="s">
        <v>870</v>
      </c>
      <c r="D1272" s="2" t="str">
        <f>CLEAN("6998-13-73")</f>
        <v>6998-13-73</v>
      </c>
      <c r="E1272" s="3" t="str">
        <f>CLEAN("C STEVENS POINT  WEST ZINDA DRIVE")</f>
        <v>C STEVENS POINT  WEST ZINDA DRIVE</v>
      </c>
      <c r="F1272" s="3" t="str">
        <f>CLEAN("ROCKY RUN CREEK BRIDGE B-49-0061")</f>
        <v>ROCKY RUN CREEK BRIDGE B-49-0061</v>
      </c>
      <c r="G1272" s="3" t="str">
        <f>CLEAN("CONST/REHAB/DECK OVERLAY")</f>
        <v>CONST/REHAB/DECK OVERLAY</v>
      </c>
      <c r="H1272" s="2" t="str">
        <f t="shared" si="208"/>
        <v>LOC STR</v>
      </c>
      <c r="I1272" s="2" t="str">
        <f>CLEAN("205")</f>
        <v>205</v>
      </c>
    </row>
    <row r="1273" spans="1:9" x14ac:dyDescent="0.35">
      <c r="A1273" s="2" t="str">
        <f t="shared" si="206"/>
        <v>PORTAGE</v>
      </c>
      <c r="B1273" s="2" t="str">
        <f t="shared" si="207"/>
        <v>CITY OF STEVENS POINT</v>
      </c>
      <c r="C1273" s="2" t="s">
        <v>1728</v>
      </c>
      <c r="D1273" s="2" t="str">
        <f>CLEAN("6998-14-01")</f>
        <v>6998-14-01</v>
      </c>
      <c r="E1273" s="3" t="str">
        <f>CLEAN("PLOVER RIVER CROSSING PROJECT")</f>
        <v>PLOVER RIVER CROSSING PROJECT</v>
      </c>
      <c r="F1273" s="3" t="str">
        <f>CLEAN("HOFMEISTER DRIVE TO BENS LANE")</f>
        <v>HOFMEISTER DRIVE TO BENS LANE</v>
      </c>
      <c r="G1273" s="3" t="str">
        <f>CLEAN("DESIGN OVERSITE/TAP/MISC")</f>
        <v>DESIGN OVERSITE/TAP/MISC</v>
      </c>
      <c r="H1273" s="2" t="str">
        <f t="shared" si="208"/>
        <v>LOC STR</v>
      </c>
      <c r="I1273" s="2" t="str">
        <f>CLEAN("290")</f>
        <v>290</v>
      </c>
    </row>
    <row r="1274" spans="1:9" x14ac:dyDescent="0.35">
      <c r="A1274" s="2" t="str">
        <f t="shared" si="206"/>
        <v>PORTAGE</v>
      </c>
      <c r="B1274" s="2" t="str">
        <f t="shared" si="207"/>
        <v>CITY OF STEVENS POINT</v>
      </c>
      <c r="C1274" s="2" t="s">
        <v>1065</v>
      </c>
      <c r="D1274" s="2" t="str">
        <f>CLEAN("6998-14-71")</f>
        <v>6998-14-71</v>
      </c>
      <c r="E1274" s="3" t="str">
        <f>CLEAN("PLOVER RIVER CROSSING PROJECT")</f>
        <v>PLOVER RIVER CROSSING PROJECT</v>
      </c>
      <c r="F1274" s="3" t="str">
        <f>CLEAN("HOFMEISTER DRIVE TO BENS LANE")</f>
        <v>HOFMEISTER DRIVE TO BENS LANE</v>
      </c>
      <c r="G1274" s="3" t="str">
        <f>CLEAN("CONST/TAP/MISC")</f>
        <v>CONST/TAP/MISC</v>
      </c>
      <c r="H1274" s="2" t="str">
        <f t="shared" si="208"/>
        <v>LOC STR</v>
      </c>
      <c r="I1274" s="2" t="str">
        <f>CLEAN("290")</f>
        <v>290</v>
      </c>
    </row>
    <row r="1275" spans="1:9" x14ac:dyDescent="0.35">
      <c r="A1275" s="2" t="str">
        <f t="shared" ref="A1275:A1285" si="209">CLEAN("DANE")</f>
        <v>DANE</v>
      </c>
      <c r="B1275" s="2" t="str">
        <f t="shared" ref="B1275:B1285" si="210">CLEAN("CITY OF STOUGHTON")</f>
        <v>CITY OF STOUGHTON</v>
      </c>
      <c r="C1275" s="2" t="s">
        <v>3363</v>
      </c>
      <c r="D1275" s="2" t="str">
        <f>CLEAN("1009-22-02")</f>
        <v>1009-22-02</v>
      </c>
      <c r="E1275" s="3" t="str">
        <f>CLEAN("CITY OF STOUGHTON  TRAIL PLAN")</f>
        <v>CITY OF STOUGHTON  TRAIL PLAN</v>
      </c>
      <c r="F1275" s="3" t="str">
        <f>CLEAN("YAHARA RIVER TRAIL EXTENSION")</f>
        <v>YAHARA RIVER TRAIL EXTENSION</v>
      </c>
      <c r="G1275" s="3" t="str">
        <f>CLEAN("TRAIL EXTENSION PLANNING STUDY")</f>
        <v>TRAIL EXTENSION PLANNING STUDY</v>
      </c>
      <c r="H1275" s="2" t="str">
        <f>CLEAN("NON HWY")</f>
        <v>NON HWY</v>
      </c>
      <c r="I1275" s="2" t="str">
        <f>CLEAN("290")</f>
        <v>290</v>
      </c>
    </row>
    <row r="1276" spans="1:9" x14ac:dyDescent="0.35">
      <c r="A1276" s="2" t="str">
        <f t="shared" si="209"/>
        <v>DANE</v>
      </c>
      <c r="B1276" s="2" t="str">
        <f t="shared" si="210"/>
        <v>CITY OF STOUGHTON</v>
      </c>
      <c r="C1276" s="2" t="s">
        <v>36</v>
      </c>
      <c r="D1276" s="2" t="str">
        <f>CLEAN("5845-01-76")</f>
        <v>5845-01-76</v>
      </c>
      <c r="E1276" s="3" t="str">
        <f t="shared" ref="E1276:E1282" si="211">CLEAN("STOUGHTON - MADISON")</f>
        <v>STOUGHTON - MADISON</v>
      </c>
      <c r="F1276" s="3" t="str">
        <f>CLEAN("STH 138 TO SILVERADO DR/HOEL AVE")</f>
        <v>STH 138 TO SILVERADO DR/HOEL AVE</v>
      </c>
      <c r="G1276" s="3" t="str">
        <f>CLEAN("CONS/ROUNDABOUT/INTRSCT IMPRV/RECST")</f>
        <v>CONS/ROUNDABOUT/INTRSCT IMPRV/RECST</v>
      </c>
      <c r="H1276" s="2" t="str">
        <f t="shared" ref="H1276:H1282" si="212">CLEAN("USH 051")</f>
        <v>USH 051</v>
      </c>
      <c r="I1276" s="2" t="str">
        <f>CLEAN("303")</f>
        <v>303</v>
      </c>
    </row>
    <row r="1277" spans="1:9" x14ac:dyDescent="0.35">
      <c r="A1277" s="2" t="str">
        <f t="shared" si="209"/>
        <v>DANE</v>
      </c>
      <c r="B1277" s="2" t="str">
        <f t="shared" si="210"/>
        <v>CITY OF STOUGHTON</v>
      </c>
      <c r="C1277" s="2" t="s">
        <v>32</v>
      </c>
      <c r="D1277" s="2" t="str">
        <f>CLEAN("5845-01-78")</f>
        <v>5845-01-78</v>
      </c>
      <c r="E1277" s="3" t="str">
        <f t="shared" si="211"/>
        <v>STOUGHTON - MADISON</v>
      </c>
      <c r="F1277" s="3" t="str">
        <f>CLEAN("ROBY ROAD INTERSECTION")</f>
        <v>ROBY ROAD INTERSECTION</v>
      </c>
      <c r="G1277" s="3" t="str">
        <f>CLEAN("CONS/IMPRV INTERSCTION SAFETY/RECST")</f>
        <v>CONS/IMPRV INTERSCTION SAFETY/RECST</v>
      </c>
      <c r="H1277" s="2" t="str">
        <f t="shared" si="212"/>
        <v>USH 051</v>
      </c>
      <c r="I1277" s="2" t="str">
        <f>CLEAN("303")</f>
        <v>303</v>
      </c>
    </row>
    <row r="1278" spans="1:9" x14ac:dyDescent="0.35">
      <c r="A1278" s="2" t="str">
        <f t="shared" si="209"/>
        <v>DANE</v>
      </c>
      <c r="B1278" s="2" t="str">
        <f t="shared" si="210"/>
        <v>CITY OF STOUGHTON</v>
      </c>
      <c r="C1278" s="2" t="s">
        <v>837</v>
      </c>
      <c r="D1278" s="2" t="str">
        <f>CLEAN("5845-16-72")</f>
        <v>5845-16-72</v>
      </c>
      <c r="E1278" s="3" t="str">
        <f t="shared" si="211"/>
        <v>STOUGHTON - MADISON</v>
      </c>
      <c r="F1278" s="3" t="str">
        <f>CLEAN("SPRING RD TO FIFTH ST")</f>
        <v>SPRING RD TO FIFTH ST</v>
      </c>
      <c r="G1278" s="3" t="str">
        <f>CLEAN("CONST/RECST")</f>
        <v>CONST/RECST</v>
      </c>
      <c r="H1278" s="2" t="str">
        <f t="shared" si="212"/>
        <v>USH 051</v>
      </c>
      <c r="I1278" s="2" t="str">
        <f>CLEAN("302")</f>
        <v>302</v>
      </c>
    </row>
    <row r="1279" spans="1:9" x14ac:dyDescent="0.35">
      <c r="A1279" s="2" t="str">
        <f t="shared" si="209"/>
        <v>DANE</v>
      </c>
      <c r="B1279" s="2" t="str">
        <f t="shared" si="210"/>
        <v>CITY OF STOUGHTON</v>
      </c>
      <c r="C1279" s="2" t="s">
        <v>826</v>
      </c>
      <c r="D1279" s="2" t="str">
        <f>CLEAN("5845-16-73")</f>
        <v>5845-16-73</v>
      </c>
      <c r="E1279" s="3" t="str">
        <f t="shared" si="211"/>
        <v>STOUGHTON - MADISON</v>
      </c>
      <c r="F1279" s="3" t="str">
        <f>CLEAN("HARRISON ST TO ROBY RD")</f>
        <v>HARRISON ST TO ROBY RD</v>
      </c>
      <c r="G1279" s="3" t="str">
        <f>CLEAN("CONST/RECST")</f>
        <v>CONST/RECST</v>
      </c>
      <c r="H1279" s="2" t="str">
        <f t="shared" si="212"/>
        <v>USH 051</v>
      </c>
      <c r="I1279" s="2" t="str">
        <f>CLEAN("302")</f>
        <v>302</v>
      </c>
    </row>
    <row r="1280" spans="1:9" x14ac:dyDescent="0.35">
      <c r="A1280" s="2" t="str">
        <f t="shared" si="209"/>
        <v>DANE</v>
      </c>
      <c r="B1280" s="2" t="str">
        <f t="shared" si="210"/>
        <v>CITY OF STOUGHTON</v>
      </c>
      <c r="C1280" s="2" t="s">
        <v>831</v>
      </c>
      <c r="D1280" s="2" t="str">
        <f>CLEAN("5845-16-74")</f>
        <v>5845-16-74</v>
      </c>
      <c r="E1280" s="3" t="str">
        <f t="shared" si="211"/>
        <v>STOUGHTON - MADISON</v>
      </c>
      <c r="F1280" s="3" t="str">
        <f>CLEAN("ROBY ROAD TO S CTH B/AB")</f>
        <v>ROBY ROAD TO S CTH B/AB</v>
      </c>
      <c r="G1280" s="3" t="str">
        <f>CLEAN("CONST/RECST")</f>
        <v>CONST/RECST</v>
      </c>
      <c r="H1280" s="2" t="str">
        <f t="shared" si="212"/>
        <v>USH 051</v>
      </c>
      <c r="I1280" s="2" t="str">
        <f>CLEAN("302")</f>
        <v>302</v>
      </c>
    </row>
    <row r="1281" spans="1:9" x14ac:dyDescent="0.35">
      <c r="A1281" s="2" t="str">
        <f t="shared" si="209"/>
        <v>DANE</v>
      </c>
      <c r="B1281" s="2" t="str">
        <f t="shared" si="210"/>
        <v>CITY OF STOUGHTON</v>
      </c>
      <c r="C1281" s="2" t="s">
        <v>1031</v>
      </c>
      <c r="D1281" s="2" t="str">
        <f>CLEAN("5845-16-79")</f>
        <v>5845-16-79</v>
      </c>
      <c r="E1281" s="3" t="str">
        <f t="shared" si="211"/>
        <v>STOUGHTON - MADISON</v>
      </c>
      <c r="F1281" s="3" t="str">
        <f>CLEAN("SPRING RD TO FIFTH ST")</f>
        <v>SPRING RD TO FIFTH ST</v>
      </c>
      <c r="G1281" s="3" t="str">
        <f>CLEAN("CONST/SANITARY SEWER &amp; WATER/RECST")</f>
        <v>CONST/SANITARY SEWER &amp; WATER/RECST</v>
      </c>
      <c r="H1281" s="2" t="str">
        <f t="shared" si="212"/>
        <v>USH 051</v>
      </c>
      <c r="I1281" s="2" t="str">
        <f>CLEAN("302")</f>
        <v>302</v>
      </c>
    </row>
    <row r="1282" spans="1:9" x14ac:dyDescent="0.35">
      <c r="A1282" s="2" t="str">
        <f t="shared" si="209"/>
        <v>DANE</v>
      </c>
      <c r="B1282" s="2" t="str">
        <f t="shared" si="210"/>
        <v>CITY OF STOUGHTON</v>
      </c>
      <c r="C1282" s="2" t="s">
        <v>1029</v>
      </c>
      <c r="D1282" s="2" t="str">
        <f>CLEAN("5845-16-83")</f>
        <v>5845-16-83</v>
      </c>
      <c r="E1282" s="3" t="str">
        <f t="shared" si="211"/>
        <v>STOUGHTON - MADISON</v>
      </c>
      <c r="F1282" s="3" t="str">
        <f>CLEAN("HARRISON ST TO ROBY RD")</f>
        <v>HARRISON ST TO ROBY RD</v>
      </c>
      <c r="G1282" s="3" t="str">
        <f>CLEAN("CONST/SANITARY SEWER &amp; WATER/RECST")</f>
        <v>CONST/SANITARY SEWER &amp; WATER/RECST</v>
      </c>
      <c r="H1282" s="2" t="str">
        <f t="shared" si="212"/>
        <v>USH 051</v>
      </c>
      <c r="I1282" s="2" t="str">
        <f>CLEAN("302")</f>
        <v>302</v>
      </c>
    </row>
    <row r="1283" spans="1:9" x14ac:dyDescent="0.35">
      <c r="A1283" s="2" t="str">
        <f t="shared" si="209"/>
        <v>DANE</v>
      </c>
      <c r="B1283" s="2" t="str">
        <f t="shared" si="210"/>
        <v>CITY OF STOUGHTON</v>
      </c>
      <c r="C1283" s="2" t="s">
        <v>2204</v>
      </c>
      <c r="D1283" s="2" t="str">
        <f>CLEAN("5998-00-00")</f>
        <v>5998-00-00</v>
      </c>
      <c r="E1283" s="3" t="str">
        <f>CLEAN("CITY OF STOUGHTON  S FOURTH STREET")</f>
        <v>CITY OF STOUGHTON  S FOURTH STREET</v>
      </c>
      <c r="F1283" s="3" t="str">
        <f>CLEAN("MILWAUKEE STREET TO ISHAM STREET")</f>
        <v>MILWAUKEE STREET TO ISHAM STREET</v>
      </c>
      <c r="G1283" s="3" t="str">
        <f>CLEAN("DESIGN/PLAN CHECK REVIEW/RECST")</f>
        <v>DESIGN/PLAN CHECK REVIEW/RECST</v>
      </c>
      <c r="H1283" s="2" t="str">
        <f>CLEAN("LOC STR")</f>
        <v>LOC STR</v>
      </c>
      <c r="I1283" s="2" t="str">
        <f>CLEAN("206")</f>
        <v>206</v>
      </c>
    </row>
    <row r="1284" spans="1:9" x14ac:dyDescent="0.35">
      <c r="A1284" s="2" t="str">
        <f t="shared" si="209"/>
        <v>DANE</v>
      </c>
      <c r="B1284" s="2" t="str">
        <f t="shared" si="210"/>
        <v>CITY OF STOUGHTON</v>
      </c>
      <c r="C1284" s="2" t="s">
        <v>252</v>
      </c>
      <c r="D1284" s="2" t="str">
        <f>CLEAN("5998-00-01")</f>
        <v>5998-00-01</v>
      </c>
      <c r="E1284" s="3" t="str">
        <f>CLEAN("CITY OF STOUGHTON  S FOURTH STREET")</f>
        <v>CITY OF STOUGHTON  S FOURTH STREET</v>
      </c>
      <c r="F1284" s="3" t="str">
        <f>CLEAN("MILWAUKEE STREET TO ISHAM STREET")</f>
        <v>MILWAUKEE STREET TO ISHAM STREET</v>
      </c>
      <c r="G1284" s="3" t="str">
        <f>CLEAN("CONST OPS/RECONSTRUCTION")</f>
        <v>CONST OPS/RECONSTRUCTION</v>
      </c>
      <c r="H1284" s="2" t="str">
        <f>CLEAN("LOC STR")</f>
        <v>LOC STR</v>
      </c>
      <c r="I1284" s="2" t="str">
        <f>CLEAN("206")</f>
        <v>206</v>
      </c>
    </row>
    <row r="1285" spans="1:9" x14ac:dyDescent="0.35">
      <c r="A1285" s="2" t="str">
        <f t="shared" si="209"/>
        <v>DANE</v>
      </c>
      <c r="B1285" s="2" t="str">
        <f t="shared" si="210"/>
        <v>CITY OF STOUGHTON</v>
      </c>
      <c r="C1285" s="2" t="s">
        <v>3421</v>
      </c>
      <c r="D1285" s="2" t="str">
        <f>CLEAN("5998-00-02")</f>
        <v>5998-00-02</v>
      </c>
      <c r="E1285" s="3" t="str">
        <f>CLEAN("CITY OF STOUGHTON  S FOURTH STREET")</f>
        <v>CITY OF STOUGHTON  S FOURTH STREET</v>
      </c>
      <c r="F1285" s="3" t="str">
        <f>CLEAN("MILWAUKEE STREET TO ISHAM STREET")</f>
        <v>MILWAUKEE STREET TO ISHAM STREET</v>
      </c>
      <c r="G1285" s="3" t="str">
        <f>CLEAN("UTL OPS/SANITARY SEWER-WATER MAIN")</f>
        <v>UTL OPS/SANITARY SEWER-WATER MAIN</v>
      </c>
      <c r="H1285" s="2" t="str">
        <f>CLEAN("LOC STR")</f>
        <v>LOC STR</v>
      </c>
      <c r="I1285" s="2" t="str">
        <f>CLEAN("206")</f>
        <v>206</v>
      </c>
    </row>
    <row r="1286" spans="1:9" x14ac:dyDescent="0.35">
      <c r="A1286" s="2" t="str">
        <f>CLEAN("DOOR")</f>
        <v>DOOR</v>
      </c>
      <c r="B1286" s="2" t="str">
        <f>CLEAN("CITY OF STURGEON BAY")</f>
        <v>CITY OF STURGEON BAY</v>
      </c>
      <c r="C1286" s="2" t="s">
        <v>945</v>
      </c>
      <c r="D1286" s="2" t="str">
        <f>CLEAN("4430-19-71")</f>
        <v>4430-19-71</v>
      </c>
      <c r="E1286" s="3" t="str">
        <f>CLEAN("STH 42  CITY OF STURGEON BAY")</f>
        <v>STH 42  CITY OF STURGEON BAY</v>
      </c>
      <c r="F1286" s="3" t="str">
        <f>CLEAN("S JUNCTION STH 57-BAYVIEW BRIDGE")</f>
        <v>S JUNCTION STH 57-BAYVIEW BRIDGE</v>
      </c>
      <c r="G1286" s="3" t="str">
        <f>CLEAN("CONST/RESURF")</f>
        <v>CONST/RESURF</v>
      </c>
      <c r="H1286" s="2" t="str">
        <f>CLEAN("STH 042")</f>
        <v>STH 042</v>
      </c>
      <c r="I1286" s="2" t="str">
        <f>CLEAN("303")</f>
        <v>303</v>
      </c>
    </row>
    <row r="1287" spans="1:9" x14ac:dyDescent="0.35">
      <c r="A1287" s="2" t="str">
        <f>CLEAN("DOOR")</f>
        <v>DOOR</v>
      </c>
      <c r="B1287" s="2" t="str">
        <f>CLEAN("CITY OF STURGEON BAY")</f>
        <v>CITY OF STURGEON BAY</v>
      </c>
      <c r="C1287" s="2" t="s">
        <v>2478</v>
      </c>
      <c r="D1287" s="2" t="str">
        <f>CLEAN("4997-05-72")</f>
        <v>4997-05-72</v>
      </c>
      <c r="E1287" s="3" t="str">
        <f>CLEAN("C STURGEON BAY  SOUTH DULUTH AVENUE")</f>
        <v>C STURGEON BAY  SOUTH DULUTH AVENUE</v>
      </c>
      <c r="F1287" s="3" t="str">
        <f>CLEAN("EMERALD DRIVE TO SPRUCE DRIVE")</f>
        <v>EMERALD DRIVE TO SPRUCE DRIVE</v>
      </c>
      <c r="G1287" s="3" t="str">
        <f>CLEAN("DSN/FULL PSE/RECST")</f>
        <v>DSN/FULL PSE/RECST</v>
      </c>
      <c r="H1287" s="2" t="str">
        <f>CLEAN("CTH S")</f>
        <v>CTH S</v>
      </c>
      <c r="I1287" s="2" t="str">
        <f>CLEAN("206")</f>
        <v>206</v>
      </c>
    </row>
    <row r="1288" spans="1:9" x14ac:dyDescent="0.35">
      <c r="A1288" s="2" t="str">
        <f>CLEAN("DOOR")</f>
        <v>DOOR</v>
      </c>
      <c r="B1288" s="2" t="str">
        <f>CLEAN("CITY OF STURGEON BAY")</f>
        <v>CITY OF STURGEON BAY</v>
      </c>
      <c r="C1288" s="2" t="s">
        <v>278</v>
      </c>
      <c r="D1288" s="2" t="str">
        <f>CLEAN("4997-05-73")</f>
        <v>4997-05-73</v>
      </c>
      <c r="E1288" s="3" t="str">
        <f>CLEAN("C STURGEON BAY  SOUTH DULUTH AVENUE")</f>
        <v>C STURGEON BAY  SOUTH DULUTH AVENUE</v>
      </c>
      <c r="F1288" s="3" t="str">
        <f>CLEAN("EMERALD DRIVE TO SPRUCE DRIVE")</f>
        <v>EMERALD DRIVE TO SPRUCE DRIVE</v>
      </c>
      <c r="G1288" s="3" t="str">
        <f>CLEAN("CONST OPS/RECST")</f>
        <v>CONST OPS/RECST</v>
      </c>
      <c r="H1288" s="2" t="str">
        <f>CLEAN("CTH S")</f>
        <v>CTH S</v>
      </c>
      <c r="I1288" s="2" t="str">
        <f>CLEAN("206")</f>
        <v>206</v>
      </c>
    </row>
    <row r="1289" spans="1:9" x14ac:dyDescent="0.35">
      <c r="A1289" s="2" t="str">
        <f t="shared" ref="A1289:A1317" si="213">CLEAN("DANE")</f>
        <v>DANE</v>
      </c>
      <c r="B1289" s="2" t="str">
        <f t="shared" ref="B1289:B1317" si="214">CLEAN("CITY OF SUN PRAIRIE")</f>
        <v>CITY OF SUN PRAIRIE</v>
      </c>
      <c r="C1289" s="2" t="s">
        <v>1396</v>
      </c>
      <c r="D1289" s="2" t="str">
        <f>CLEAN("3050-05-02")</f>
        <v>3050-05-02</v>
      </c>
      <c r="E1289" s="3" t="str">
        <f>CLEAN("C SUN PRAIRIE  WINDSOR/ BRISTOL STS")</f>
        <v>C SUN PRAIRIE  WINDSOR/ BRISTOL STS</v>
      </c>
      <c r="F1289" s="3" t="str">
        <f>CLEAN("NORTH STREET TO MAIN STREET")</f>
        <v>NORTH STREET TO MAIN STREET</v>
      </c>
      <c r="G1289" s="3" t="str">
        <f>CLEAN("DES/PE-PS&amp;E/MILL &amp; O'LAY/RSRF")</f>
        <v>DES/PE-PS&amp;E/MILL &amp; O'LAY/RSRF</v>
      </c>
      <c r="H1289" s="2" t="str">
        <f>CLEAN("STH 019")</f>
        <v>STH 019</v>
      </c>
      <c r="I1289" s="2" t="str">
        <f>CLEAN("303")</f>
        <v>303</v>
      </c>
    </row>
    <row r="1290" spans="1:9" x14ac:dyDescent="0.35">
      <c r="A1290" s="2" t="str">
        <f t="shared" si="213"/>
        <v>DANE</v>
      </c>
      <c r="B1290" s="2" t="str">
        <f t="shared" si="214"/>
        <v>CITY OF SUN PRAIRIE</v>
      </c>
      <c r="C1290" s="2" t="s">
        <v>2150</v>
      </c>
      <c r="D1290" s="2" t="str">
        <f>CLEAN("3996-02-20")</f>
        <v>3996-02-20</v>
      </c>
      <c r="E1290" s="3" t="str">
        <f>CLEAN("C SUN PRAIRIE  O KEEFFE AVENUE")</f>
        <v>C SUN PRAIRIE  O KEEFFE AVENUE</v>
      </c>
      <c r="F1290" s="3" t="str">
        <f>CLEAN("REINER ROAD TO SUMMERFIELD WAY")</f>
        <v>REINER ROAD TO SUMMERFIELD WAY</v>
      </c>
      <c r="G1290" s="3" t="str">
        <f>CLEAN("DESIGN/PLAN CHECK REVIEW/PVRPLA")</f>
        <v>DESIGN/PLAN CHECK REVIEW/PVRPLA</v>
      </c>
      <c r="H1290" s="2" t="str">
        <f>CLEAN("LOC STR")</f>
        <v>LOC STR</v>
      </c>
      <c r="I1290" s="2" t="str">
        <f>CLEAN("206")</f>
        <v>206</v>
      </c>
    </row>
    <row r="1291" spans="1:9" x14ac:dyDescent="0.35">
      <c r="A1291" s="2" t="str">
        <f t="shared" si="213"/>
        <v>DANE</v>
      </c>
      <c r="B1291" s="2" t="str">
        <f t="shared" si="214"/>
        <v>CITY OF SUN PRAIRIE</v>
      </c>
      <c r="C1291" s="2" t="s">
        <v>2177</v>
      </c>
      <c r="D1291" s="2" t="str">
        <f>CLEAN("3996-02-22")</f>
        <v>3996-02-22</v>
      </c>
      <c r="E1291" s="3" t="str">
        <f>CLEAN("C SUN PRAIRIE  ST. ALBERT GREAT DR.")</f>
        <v>C SUN PRAIRIE  ST. ALBERT GREAT DR.</v>
      </c>
      <c r="F1291" s="3" t="str">
        <f>CLEAN("BROADWAY DRIVE TO N. BIRD STREET")</f>
        <v>BROADWAY DRIVE TO N. BIRD STREET</v>
      </c>
      <c r="G1291" s="3" t="str">
        <f>CLEAN("DESIGN/PLAN CHECK REVIEW/RECST")</f>
        <v>DESIGN/PLAN CHECK REVIEW/RECST</v>
      </c>
      <c r="H1291" s="2" t="str">
        <f>CLEAN("LOC STR")</f>
        <v>LOC STR</v>
      </c>
      <c r="I1291" s="2" t="str">
        <f>CLEAN("206")</f>
        <v>206</v>
      </c>
    </row>
    <row r="1292" spans="1:9" x14ac:dyDescent="0.35">
      <c r="A1292" s="2" t="str">
        <f t="shared" si="213"/>
        <v>DANE</v>
      </c>
      <c r="B1292" s="2" t="str">
        <f t="shared" si="214"/>
        <v>CITY OF SUN PRAIRIE</v>
      </c>
      <c r="C1292" s="2" t="s">
        <v>2263</v>
      </c>
      <c r="D1292" s="2" t="str">
        <f>CLEAN("6085-02-03")</f>
        <v>6085-02-03</v>
      </c>
      <c r="E1292" s="3" t="str">
        <f>CLEAN("WAUNAKEE - SUN PRAIRIE")</f>
        <v>WAUNAKEE - SUN PRAIRIE</v>
      </c>
      <c r="F1292" s="3" t="str">
        <f>CLEAN("BROADWAY DRIVE INTERSECTION")</f>
        <v>BROADWAY DRIVE INTERSECTION</v>
      </c>
      <c r="G1292" s="3" t="str">
        <f>CLEAN("DESIGN/RECST INTERSECTION &amp; SIGNALS")</f>
        <v>DESIGN/RECST INTERSECTION &amp; SIGNALS</v>
      </c>
      <c r="H1292" s="2" t="str">
        <f>CLEAN("STH 019")</f>
        <v>STH 019</v>
      </c>
      <c r="I1292" s="2" t="str">
        <f>CLEAN("303")</f>
        <v>303</v>
      </c>
    </row>
    <row r="1293" spans="1:9" x14ac:dyDescent="0.35">
      <c r="A1293" s="2" t="str">
        <f t="shared" si="213"/>
        <v>DANE</v>
      </c>
      <c r="B1293" s="2" t="str">
        <f t="shared" si="214"/>
        <v>CITY OF SUN PRAIRIE</v>
      </c>
      <c r="C1293" s="2" t="s">
        <v>1391</v>
      </c>
      <c r="D1293" s="2" t="str">
        <f>CLEAN("6085-02-07")</f>
        <v>6085-02-07</v>
      </c>
      <c r="E1293" s="3" t="str">
        <f>CLEAN("C SUN PRAIRIE  WINDSOR STREET")</f>
        <v>C SUN PRAIRIE  WINDSOR STREET</v>
      </c>
      <c r="F1293" s="3" t="str">
        <f>CLEAN("N THOMPSON RD INTR;DAVISON DR INTR")</f>
        <v>N THOMPSON RD INTR;DAVISON DR INTR</v>
      </c>
      <c r="G1293" s="3" t="str">
        <f>CLEAN("DES/FULL PS&amp;E/RCND")</f>
        <v>DES/FULL PS&amp;E/RCND</v>
      </c>
      <c r="H1293" s="2" t="str">
        <f>CLEAN("STH 019")</f>
        <v>STH 019</v>
      </c>
      <c r="I1293" s="2" t="str">
        <f>CLEAN("303")</f>
        <v>303</v>
      </c>
    </row>
    <row r="1294" spans="1:9" x14ac:dyDescent="0.35">
      <c r="A1294" s="2" t="str">
        <f t="shared" si="213"/>
        <v>DANE</v>
      </c>
      <c r="B1294" s="2" t="str">
        <f t="shared" si="214"/>
        <v>CITY OF SUN PRAIRIE</v>
      </c>
      <c r="C1294" s="2" t="s">
        <v>3426</v>
      </c>
      <c r="D1294" s="2" t="str">
        <f>CLEAN("1009-22-04")</f>
        <v>1009-22-04</v>
      </c>
      <c r="E1294" s="3" t="str">
        <f>CLEAN("CITY OF SUN PRAIRIE  SAFETY STUDY")</f>
        <v>CITY OF SUN PRAIRIE  SAFETY STUDY</v>
      </c>
      <c r="F1294" s="3" t="str">
        <f>CLEAN("C OF SUN PRAIRE MULTIPLE LOCATIONS")</f>
        <v>C OF SUN PRAIRE MULTIPLE LOCATIONS</v>
      </c>
      <c r="G1294" s="3" t="str">
        <f>CLEAN("VISION ZERO ACTION PLAN/STUDY")</f>
        <v>VISION ZERO ACTION PLAN/STUDY</v>
      </c>
      <c r="H1294" s="2" t="str">
        <f>CLEAN("NON HWY")</f>
        <v>NON HWY</v>
      </c>
      <c r="I1294" s="2" t="str">
        <f>CLEAN("290")</f>
        <v>290</v>
      </c>
    </row>
    <row r="1295" spans="1:9" x14ac:dyDescent="0.35">
      <c r="A1295" s="2" t="str">
        <f t="shared" si="213"/>
        <v>DANE</v>
      </c>
      <c r="B1295" s="2" t="str">
        <f t="shared" si="214"/>
        <v>CITY OF SUN PRAIRIE</v>
      </c>
      <c r="C1295" s="2" t="s">
        <v>3394</v>
      </c>
      <c r="D1295" s="2" t="str">
        <f>CLEAN("3700-10-65")</f>
        <v>3700-10-65</v>
      </c>
      <c r="E1295" s="3" t="str">
        <f>CLEAN("CITY OF SUN PRAIRIE")</f>
        <v>CITY OF SUN PRAIRIE</v>
      </c>
      <c r="F1295" s="3" t="str">
        <f>CLEAN("MAIN ST - CHURCH ST INTERSECTION")</f>
        <v>MAIN ST - CHURCH ST INTERSECTION</v>
      </c>
      <c r="G1295" s="3" t="str">
        <f>CLEAN("TRF/ DES SIGNAL REHAB FY23/ TOSIG")</f>
        <v>TRF/ DES SIGNAL REHAB FY23/ TOSIG</v>
      </c>
      <c r="H1295" s="2" t="str">
        <f>CLEAN("STH 019")</f>
        <v>STH 019</v>
      </c>
      <c r="I1295" s="2" t="str">
        <f>CLEAN("305")</f>
        <v>305</v>
      </c>
    </row>
    <row r="1296" spans="1:9" x14ac:dyDescent="0.35">
      <c r="A1296" s="2" t="str">
        <f t="shared" si="213"/>
        <v>DANE</v>
      </c>
      <c r="B1296" s="2" t="str">
        <f t="shared" si="214"/>
        <v>CITY OF SUN PRAIRIE</v>
      </c>
      <c r="C1296" s="2" t="s">
        <v>3395</v>
      </c>
      <c r="D1296" s="2" t="str">
        <f>CLEAN("3700-10-66")</f>
        <v>3700-10-66</v>
      </c>
      <c r="E1296" s="3" t="str">
        <f>CLEAN("CITY OF SUN PRAIRIE")</f>
        <v>CITY OF SUN PRAIRIE</v>
      </c>
      <c r="F1296" s="3" t="str">
        <f>CLEAN("WINDSOR ST - BIRD ST INTERSECTION")</f>
        <v>WINDSOR ST - BIRD ST INTERSECTION</v>
      </c>
      <c r="G1296" s="3" t="str">
        <f>CLEAN("TRF/ DES SIGNAL REHAB FY23/ TOSIG")</f>
        <v>TRF/ DES SIGNAL REHAB FY23/ TOSIG</v>
      </c>
      <c r="H1296" s="2" t="str">
        <f>CLEAN("STH 019")</f>
        <v>STH 019</v>
      </c>
      <c r="I1296" s="2" t="str">
        <f>CLEAN("305")</f>
        <v>305</v>
      </c>
    </row>
    <row r="1297" spans="1:9" x14ac:dyDescent="0.35">
      <c r="A1297" s="2" t="str">
        <f t="shared" si="213"/>
        <v>DANE</v>
      </c>
      <c r="B1297" s="2" t="str">
        <f t="shared" si="214"/>
        <v>CITY OF SUN PRAIRIE</v>
      </c>
      <c r="C1297" s="2" t="s">
        <v>3388</v>
      </c>
      <c r="D1297" s="2" t="str">
        <f>CLEAN("3700-10-67")</f>
        <v>3700-10-67</v>
      </c>
      <c r="E1297" s="3" t="str">
        <f>CLEAN("CITY OF SUN PRAIRIE")</f>
        <v>CITY OF SUN PRAIRIE</v>
      </c>
      <c r="F1297" s="3" t="str">
        <f>CLEAN("MAIN ST - CHURCH ST INTERSECTION")</f>
        <v>MAIN ST - CHURCH ST INTERSECTION</v>
      </c>
      <c r="G1297" s="3" t="str">
        <f>CLEAN("TRF/ CONST SIGNAL REHAB FY24/ TOSIG")</f>
        <v>TRF/ CONST SIGNAL REHAB FY24/ TOSIG</v>
      </c>
      <c r="H1297" s="2" t="str">
        <f>CLEAN("STH 019")</f>
        <v>STH 019</v>
      </c>
      <c r="I1297" s="2" t="str">
        <f>CLEAN("305")</f>
        <v>305</v>
      </c>
    </row>
    <row r="1298" spans="1:9" x14ac:dyDescent="0.35">
      <c r="A1298" s="2" t="str">
        <f t="shared" si="213"/>
        <v>DANE</v>
      </c>
      <c r="B1298" s="2" t="str">
        <f t="shared" si="214"/>
        <v>CITY OF SUN PRAIRIE</v>
      </c>
      <c r="C1298" s="2" t="s">
        <v>3389</v>
      </c>
      <c r="D1298" s="2" t="str">
        <f>CLEAN("3700-10-68")</f>
        <v>3700-10-68</v>
      </c>
      <c r="E1298" s="3" t="str">
        <f>CLEAN("CITY OF SUN PRAIRIE")</f>
        <v>CITY OF SUN PRAIRIE</v>
      </c>
      <c r="F1298" s="3" t="str">
        <f>CLEAN("WINDSOR ST - BIRD ST INTERSECTION")</f>
        <v>WINDSOR ST - BIRD ST INTERSECTION</v>
      </c>
      <c r="G1298" s="3" t="str">
        <f>CLEAN("TRF/ CONST SIGNAL REHAB FY24/ TOSIG")</f>
        <v>TRF/ CONST SIGNAL REHAB FY24/ TOSIG</v>
      </c>
      <c r="H1298" s="2" t="str">
        <f>CLEAN("STH 019")</f>
        <v>STH 019</v>
      </c>
      <c r="I1298" s="2" t="str">
        <f>CLEAN("305")</f>
        <v>305</v>
      </c>
    </row>
    <row r="1299" spans="1:9" x14ac:dyDescent="0.35">
      <c r="A1299" s="2" t="str">
        <f t="shared" si="213"/>
        <v>DANE</v>
      </c>
      <c r="B1299" s="2" t="str">
        <f t="shared" si="214"/>
        <v>CITY OF SUN PRAIRIE</v>
      </c>
      <c r="C1299" s="2" t="s">
        <v>1883</v>
      </c>
      <c r="D1299" s="2" t="str">
        <f>CLEAN("3996-00-09")</f>
        <v>3996-00-09</v>
      </c>
      <c r="E1299" s="3" t="str">
        <f>CLEAN("C SUN PRAIRIE  INTERSECTION IMPRVMT")</f>
        <v>C SUN PRAIRIE  INTERSECTION IMPRVMT</v>
      </c>
      <c r="F1299" s="3" t="str">
        <f>CLEAN("MAIN/WALKER;MAIN/BIRD;BIRD/LINNERUD")</f>
        <v>MAIN/WALKER;MAIN/BIRD;BIRD/LINNERUD</v>
      </c>
      <c r="G1299" s="3" t="str">
        <f>CLEAN("DESIGN/FULL PS&amp;E/INTERS IMPROV/RCND")</f>
        <v>DESIGN/FULL PS&amp;E/INTERS IMPROV/RCND</v>
      </c>
      <c r="H1299" s="2" t="str">
        <f>CLEAN("LOC STR")</f>
        <v>LOC STR</v>
      </c>
      <c r="I1299" s="2" t="str">
        <f>CLEAN("206")</f>
        <v>206</v>
      </c>
    </row>
    <row r="1300" spans="1:9" x14ac:dyDescent="0.35">
      <c r="A1300" s="2" t="str">
        <f t="shared" si="213"/>
        <v>DANE</v>
      </c>
      <c r="B1300" s="2" t="str">
        <f t="shared" si="214"/>
        <v>CITY OF SUN PRAIRIE</v>
      </c>
      <c r="C1300" s="2" t="s">
        <v>584</v>
      </c>
      <c r="D1300" s="2" t="str">
        <f>CLEAN("3996-00-10")</f>
        <v>3996-00-10</v>
      </c>
      <c r="E1300" s="3" t="str">
        <f>CLEAN("C SUN PRAIRIE  INTERSECTION IMPRVMT")</f>
        <v>C SUN PRAIRIE  INTERSECTION IMPRVMT</v>
      </c>
      <c r="F1300" s="3" t="str">
        <f>CLEAN("MAIN/WALKER;MAIN/BIRD;BIRD/LINNERUD")</f>
        <v>MAIN/WALKER;MAIN/BIRD;BIRD/LINNERUD</v>
      </c>
      <c r="G1300" s="3" t="str">
        <f>CLEAN("CONST/INTERSECTION IMPROVEMENTS")</f>
        <v>CONST/INTERSECTION IMPROVEMENTS</v>
      </c>
      <c r="H1300" s="2" t="str">
        <f>CLEAN("LOC STR")</f>
        <v>LOC STR</v>
      </c>
      <c r="I1300" s="2" t="str">
        <f>CLEAN("206")</f>
        <v>206</v>
      </c>
    </row>
    <row r="1301" spans="1:9" x14ac:dyDescent="0.35">
      <c r="A1301" s="2" t="str">
        <f t="shared" si="213"/>
        <v>DANE</v>
      </c>
      <c r="B1301" s="2" t="str">
        <f t="shared" si="214"/>
        <v>CITY OF SUN PRAIRIE</v>
      </c>
      <c r="C1301" s="2" t="s">
        <v>1490</v>
      </c>
      <c r="D1301" s="2" t="str">
        <f>CLEAN("3996-00-11")</f>
        <v>3996-00-11</v>
      </c>
      <c r="E1301" s="3" t="str">
        <f>CLEAN("C SUN PRAIRIE  O'KEEFE AVENUE")</f>
        <v>C SUN PRAIRIE  O'KEEFE AVENUE</v>
      </c>
      <c r="F1301" s="3" t="str">
        <f>CLEAN("MCCOY ROAD INTERSECTION")</f>
        <v>MCCOY ROAD INTERSECTION</v>
      </c>
      <c r="G1301" s="3" t="str">
        <f>CLEAN("DESIGN - FULL PS&amp;E MISC")</f>
        <v>DESIGN - FULL PS&amp;E MISC</v>
      </c>
      <c r="H1301" s="2" t="str">
        <f>CLEAN("LOC STR")</f>
        <v>LOC STR</v>
      </c>
      <c r="I1301" s="2" t="str">
        <f>CLEAN("206")</f>
        <v>206</v>
      </c>
    </row>
    <row r="1302" spans="1:9" x14ac:dyDescent="0.35">
      <c r="A1302" s="2" t="str">
        <f t="shared" si="213"/>
        <v>DANE</v>
      </c>
      <c r="B1302" s="2" t="str">
        <f t="shared" si="214"/>
        <v>CITY OF SUN PRAIRIE</v>
      </c>
      <c r="C1302" s="2" t="s">
        <v>642</v>
      </c>
      <c r="D1302" s="2" t="str">
        <f>CLEAN("3996-00-12")</f>
        <v>3996-00-12</v>
      </c>
      <c r="E1302" s="3" t="str">
        <f>CLEAN("C SUN PRAIRIE  O'KEEFFE AVENUE")</f>
        <v>C SUN PRAIRIE  O'KEEFFE AVENUE</v>
      </c>
      <c r="F1302" s="3" t="str">
        <f>CLEAN("MCCOY ROAD INTERSECTION")</f>
        <v>MCCOY ROAD INTERSECTION</v>
      </c>
      <c r="G1302" s="3" t="str">
        <f>CLEAN("CONST/MONOTUBES/LIGHTING/MISC")</f>
        <v>CONST/MONOTUBES/LIGHTING/MISC</v>
      </c>
      <c r="H1302" s="2" t="str">
        <f>CLEAN("LOC STR")</f>
        <v>LOC STR</v>
      </c>
      <c r="I1302" s="2" t="str">
        <f>CLEAN("206")</f>
        <v>206</v>
      </c>
    </row>
    <row r="1303" spans="1:9" x14ac:dyDescent="0.35">
      <c r="A1303" s="2" t="str">
        <f t="shared" si="213"/>
        <v>DANE</v>
      </c>
      <c r="B1303" s="2" t="str">
        <f t="shared" si="214"/>
        <v>CITY OF SUN PRAIRIE</v>
      </c>
      <c r="C1303" s="2" t="s">
        <v>2052</v>
      </c>
      <c r="D1303" s="2" t="str">
        <f>CLEAN("3996-00-15")</f>
        <v>3996-00-15</v>
      </c>
      <c r="E1303" s="3" t="str">
        <f>CLEAN("C SUN PRAIRIE  MULTI-USE PATH")</f>
        <v>C SUN PRAIRIE  MULTI-USE PATH</v>
      </c>
      <c r="F1303" s="3" t="str">
        <f>CLEAN("BIRD STREET TO KRONCKE DRIVE")</f>
        <v>BIRD STREET TO KRONCKE DRIVE</v>
      </c>
      <c r="G1303" s="3" t="str">
        <f>CLEAN("DESIGN/PLAN CHECK REVIEW")</f>
        <v>DESIGN/PLAN CHECK REVIEW</v>
      </c>
      <c r="H1303" s="2" t="str">
        <f>CLEAN("NON HWY")</f>
        <v>NON HWY</v>
      </c>
      <c r="I1303" s="2" t="str">
        <f>CLEAN("290")</f>
        <v>290</v>
      </c>
    </row>
    <row r="1304" spans="1:9" x14ac:dyDescent="0.35">
      <c r="A1304" s="2" t="str">
        <f t="shared" si="213"/>
        <v>DANE</v>
      </c>
      <c r="B1304" s="2" t="str">
        <f t="shared" si="214"/>
        <v>CITY OF SUN PRAIRIE</v>
      </c>
      <c r="C1304" s="2" t="s">
        <v>2918</v>
      </c>
      <c r="D1304" s="2" t="str">
        <f>CLEAN("3996-00-18")</f>
        <v>3996-00-18</v>
      </c>
      <c r="E1304" s="3" t="str">
        <f>CLEAN("C SUN PRAIRIE  MULTI-USE PATH")</f>
        <v>C SUN PRAIRIE  MULTI-USE PATH</v>
      </c>
      <c r="F1304" s="3" t="str">
        <f>CLEAN("STONEHAVEN DRIVE TO EGRE ROAD")</f>
        <v>STONEHAVEN DRIVE TO EGRE ROAD</v>
      </c>
      <c r="G1304" s="3" t="str">
        <f>CLEAN("PE/PL CHECK BIKE/PED PATH")</f>
        <v>PE/PL CHECK BIKE/PED PATH</v>
      </c>
      <c r="H1304" s="2" t="str">
        <f>CLEAN("NON HWY")</f>
        <v>NON HWY</v>
      </c>
      <c r="I1304" s="2" t="str">
        <f>CLEAN("290")</f>
        <v>290</v>
      </c>
    </row>
    <row r="1305" spans="1:9" x14ac:dyDescent="0.35">
      <c r="A1305" s="2" t="str">
        <f t="shared" si="213"/>
        <v>DANE</v>
      </c>
      <c r="B1305" s="2" t="str">
        <f t="shared" si="214"/>
        <v>CITY OF SUN PRAIRIE</v>
      </c>
      <c r="C1305" s="2" t="s">
        <v>3041</v>
      </c>
      <c r="D1305" s="2" t="str">
        <f>CLEAN("3996-00-19")</f>
        <v>3996-00-19</v>
      </c>
      <c r="E1305" s="3" t="str">
        <f>CLEAN("C SUN PRAIRIE  MULTI-USE PATH")</f>
        <v>C SUN PRAIRIE  MULTI-USE PATH</v>
      </c>
      <c r="F1305" s="3" t="str">
        <f>CLEAN("STONEHAVEN DRIVE TO EGRE ROAD")</f>
        <v>STONEHAVEN DRIVE TO EGRE ROAD</v>
      </c>
      <c r="G1305" s="3" t="str">
        <f>CLEAN("PEDESTRIAN/BICYCLE MULIT-USE PATH")</f>
        <v>PEDESTRIAN/BICYCLE MULIT-USE PATH</v>
      </c>
      <c r="H1305" s="2" t="str">
        <f>CLEAN("NON HWY")</f>
        <v>NON HWY</v>
      </c>
      <c r="I1305" s="2" t="str">
        <f>CLEAN("290")</f>
        <v>290</v>
      </c>
    </row>
    <row r="1306" spans="1:9" x14ac:dyDescent="0.35">
      <c r="A1306" s="2" t="str">
        <f t="shared" si="213"/>
        <v>DANE</v>
      </c>
      <c r="B1306" s="2" t="str">
        <f t="shared" si="214"/>
        <v>CITY OF SUN PRAIRIE</v>
      </c>
      <c r="C1306" s="2" t="s">
        <v>529</v>
      </c>
      <c r="D1306" s="2" t="str">
        <f>CLEAN("3996-00-20")</f>
        <v>3996-00-20</v>
      </c>
      <c r="E1306" s="3" t="str">
        <f>CLEAN("C SUN PRAIRIE  LED STREET LIGHTS")</f>
        <v>C SUN PRAIRIE  LED STREET LIGHTS</v>
      </c>
      <c r="F1306" s="3" t="str">
        <f>CLEAN("VARIOUS LOCATIONS - C SUN PRAIRIE")</f>
        <v>VARIOUS LOCATIONS - C SUN PRAIRIE</v>
      </c>
      <c r="G1306" s="3" t="str">
        <f>CLEAN("CONST/CARBON RED-LED LIGHTING")</f>
        <v>CONST/CARBON RED-LED LIGHTING</v>
      </c>
      <c r="H1306" s="2" t="str">
        <f>CLEAN("VAR HWY")</f>
        <v>VAR HWY</v>
      </c>
      <c r="I1306" s="2" t="str">
        <f>CLEAN("206")</f>
        <v>206</v>
      </c>
    </row>
    <row r="1307" spans="1:9" x14ac:dyDescent="0.35">
      <c r="A1307" s="2" t="str">
        <f t="shared" si="213"/>
        <v>DANE</v>
      </c>
      <c r="B1307" s="2" t="str">
        <f t="shared" si="214"/>
        <v>CITY OF SUN PRAIRIE</v>
      </c>
      <c r="C1307" s="2" t="s">
        <v>8</v>
      </c>
      <c r="D1307" s="2" t="str">
        <f>CLEAN("3996-00-21")</f>
        <v>3996-00-21</v>
      </c>
      <c r="E1307" s="3" t="str">
        <f>CLEAN("C SUN PRAIRIE  WAYFINDING SIGNS")</f>
        <v>C SUN PRAIRIE  WAYFINDING SIGNS</v>
      </c>
      <c r="F1307" s="3" t="str">
        <f>CLEAN("C SUN PRAIRIE  VARIOUS LOCATIONS")</f>
        <v>C SUN PRAIRIE  VARIOUS LOCATIONS</v>
      </c>
      <c r="G1307" s="3" t="str">
        <f>CLEAN("BICYCLE WAYFINDING SIGNS")</f>
        <v>BICYCLE WAYFINDING SIGNS</v>
      </c>
      <c r="H1307" s="2" t="str">
        <f>CLEAN("NON HWY")</f>
        <v>NON HWY</v>
      </c>
      <c r="I1307" s="2" t="str">
        <f>CLEAN("290")</f>
        <v>290</v>
      </c>
    </row>
    <row r="1308" spans="1:9" x14ac:dyDescent="0.35">
      <c r="A1308" s="2" t="str">
        <f t="shared" si="213"/>
        <v>DANE</v>
      </c>
      <c r="B1308" s="2" t="str">
        <f t="shared" si="214"/>
        <v>CITY OF SUN PRAIRIE</v>
      </c>
      <c r="C1308" s="2" t="s">
        <v>7</v>
      </c>
      <c r="D1308" s="2" t="str">
        <f>CLEAN("3996-00-22")</f>
        <v>3996-00-22</v>
      </c>
      <c r="E1308" s="3" t="str">
        <f>CLEAN("C SUN PRAIRIE  WAYFINDING SIGNS")</f>
        <v>C SUN PRAIRIE  WAYFINDING SIGNS</v>
      </c>
      <c r="F1308" s="3" t="str">
        <f>CLEAN("C SUN PRAIRIE  VARIOUS LOCATIONS")</f>
        <v>C SUN PRAIRIE  VARIOUS LOCATIONS</v>
      </c>
      <c r="G1308" s="3" t="str">
        <f>CLEAN("BICYCLE WAYFINDING SIGNS")</f>
        <v>BICYCLE WAYFINDING SIGNS</v>
      </c>
      <c r="H1308" s="2" t="str">
        <f>CLEAN("NON HWY")</f>
        <v>NON HWY</v>
      </c>
      <c r="I1308" s="2" t="str">
        <f>CLEAN("290")</f>
        <v>290</v>
      </c>
    </row>
    <row r="1309" spans="1:9" x14ac:dyDescent="0.35">
      <c r="A1309" s="2" t="str">
        <f t="shared" si="213"/>
        <v>DANE</v>
      </c>
      <c r="B1309" s="2" t="str">
        <f t="shared" si="214"/>
        <v>CITY OF SUN PRAIRIE</v>
      </c>
      <c r="C1309" s="2" t="s">
        <v>2139</v>
      </c>
      <c r="D1309" s="2" t="str">
        <f>CLEAN("3996-00-30")</f>
        <v>3996-00-30</v>
      </c>
      <c r="E1309" s="3" t="str">
        <f>CLEAN("C SUN PRAIRIE  N THOMPSON RD")</f>
        <v>C SUN PRAIRIE  N THOMPSON RD</v>
      </c>
      <c r="F1309" s="3" t="str">
        <f>CLEAN("CTH C TO WEST MAIN STREET")</f>
        <v>CTH C TO WEST MAIN STREET</v>
      </c>
      <c r="G1309" s="3" t="str">
        <f>CLEAN("DESIGN/PLAN CHECK REVIEW/PVRPLA")</f>
        <v>DESIGN/PLAN CHECK REVIEW/PVRPLA</v>
      </c>
      <c r="H1309" s="2" t="str">
        <f>CLEAN("LOC STR")</f>
        <v>LOC STR</v>
      </c>
      <c r="I1309" s="2" t="str">
        <f>CLEAN("206")</f>
        <v>206</v>
      </c>
    </row>
    <row r="1310" spans="1:9" x14ac:dyDescent="0.35">
      <c r="A1310" s="2" t="str">
        <f t="shared" si="213"/>
        <v>DANE</v>
      </c>
      <c r="B1310" s="2" t="str">
        <f t="shared" si="214"/>
        <v>CITY OF SUN PRAIRIE</v>
      </c>
      <c r="C1310" s="2" t="s">
        <v>189</v>
      </c>
      <c r="D1310" s="2" t="str">
        <f>CLEAN("3996-00-31")</f>
        <v>3996-00-31</v>
      </c>
      <c r="E1310" s="3" t="str">
        <f>CLEAN("C OF SUN PRAIRIE  N. THOMPSON ROAD")</f>
        <v>C OF SUN PRAIRIE  N. THOMPSON ROAD</v>
      </c>
      <c r="F1310" s="3" t="str">
        <f>CLEAN("CTH C TO WEST MAIN STREET")</f>
        <v>CTH C TO WEST MAIN STREET</v>
      </c>
      <c r="G1310" s="3" t="str">
        <f>CLEAN("CONST OPS/PAVEMENT REPLACEMENT")</f>
        <v>CONST OPS/PAVEMENT REPLACEMENT</v>
      </c>
      <c r="H1310" s="2" t="str">
        <f>CLEAN("LOC STR")</f>
        <v>LOC STR</v>
      </c>
      <c r="I1310" s="2" t="str">
        <f>CLEAN("206")</f>
        <v>206</v>
      </c>
    </row>
    <row r="1311" spans="1:9" x14ac:dyDescent="0.35">
      <c r="A1311" s="2" t="str">
        <f t="shared" si="213"/>
        <v>DANE</v>
      </c>
      <c r="B1311" s="2" t="str">
        <f t="shared" si="214"/>
        <v>CITY OF SUN PRAIRIE</v>
      </c>
      <c r="C1311" s="2" t="s">
        <v>2217</v>
      </c>
      <c r="D1311" s="2" t="str">
        <f>CLEAN("3996-00-34")</f>
        <v>3996-00-34</v>
      </c>
      <c r="E1311" s="3" t="str">
        <f>CLEAN("CITY OF SUN PRAIRIE  N BIRD STREET")</f>
        <v>CITY OF SUN PRAIRIE  N BIRD STREET</v>
      </c>
      <c r="F1311" s="3" t="str">
        <f>CLEAN("STH 19 TO USH 151")</f>
        <v>STH 19 TO USH 151</v>
      </c>
      <c r="G1311" s="3" t="str">
        <f>CLEAN("DESIGN/PLAN CHECK REVIEW/RECST")</f>
        <v>DESIGN/PLAN CHECK REVIEW/RECST</v>
      </c>
      <c r="H1311" s="2" t="str">
        <f>CLEAN("LOC STR")</f>
        <v>LOC STR</v>
      </c>
      <c r="I1311" s="2" t="str">
        <f>CLEAN("206")</f>
        <v>206</v>
      </c>
    </row>
    <row r="1312" spans="1:9" x14ac:dyDescent="0.35">
      <c r="A1312" s="2" t="str">
        <f t="shared" si="213"/>
        <v>DANE</v>
      </c>
      <c r="B1312" s="2" t="str">
        <f t="shared" si="214"/>
        <v>CITY OF SUN PRAIRIE</v>
      </c>
      <c r="C1312" s="2" t="s">
        <v>263</v>
      </c>
      <c r="D1312" s="2" t="str">
        <f>CLEAN("3996-00-35")</f>
        <v>3996-00-35</v>
      </c>
      <c r="E1312" s="3" t="str">
        <f>CLEAN("CITY OF SUN PRAIRIE  N BIRD STREET")</f>
        <v>CITY OF SUN PRAIRIE  N BIRD STREET</v>
      </c>
      <c r="F1312" s="3" t="str">
        <f>CLEAN("STH 19 TO USH 151")</f>
        <v>STH 19 TO USH 151</v>
      </c>
      <c r="G1312" s="3" t="str">
        <f>CLEAN("CONST OPS/RECONSTRUCTION")</f>
        <v>CONST OPS/RECONSTRUCTION</v>
      </c>
      <c r="H1312" s="2" t="str">
        <f>CLEAN("LOC STR")</f>
        <v>LOC STR</v>
      </c>
      <c r="I1312" s="2" t="str">
        <f>CLEAN("206")</f>
        <v>206</v>
      </c>
    </row>
    <row r="1313" spans="1:9" x14ac:dyDescent="0.35">
      <c r="A1313" s="2" t="str">
        <f t="shared" si="213"/>
        <v>DANE</v>
      </c>
      <c r="B1313" s="2" t="str">
        <f t="shared" si="214"/>
        <v>CITY OF SUN PRAIRIE</v>
      </c>
      <c r="C1313" s="2" t="s">
        <v>2113</v>
      </c>
      <c r="D1313" s="2" t="str">
        <f>CLEAN("3996-01-00")</f>
        <v>3996-01-00</v>
      </c>
      <c r="E1313" s="3" t="str">
        <f>CLEAN("C SUN PRAIRIE  EMISSION MITIGATION")</f>
        <v>C SUN PRAIRIE  EMISSION MITIGATION</v>
      </c>
      <c r="F1313" s="3" t="str">
        <f>CLEAN("C SUN PRAIRIE  FIRETRUCK")</f>
        <v>C SUN PRAIRIE  FIRETRUCK</v>
      </c>
      <c r="G1313" s="3" t="str">
        <f>CLEAN("DESIGN/PLAN CHECK REVIEW/EMISSIONS")</f>
        <v>DESIGN/PLAN CHECK REVIEW/EMISSIONS</v>
      </c>
      <c r="H1313" s="2" t="str">
        <f>CLEAN("VAR HWY")</f>
        <v>VAR HWY</v>
      </c>
      <c r="I1313" s="2" t="str">
        <f>CLEAN("206")</f>
        <v>206</v>
      </c>
    </row>
    <row r="1314" spans="1:9" x14ac:dyDescent="0.35">
      <c r="A1314" s="2" t="str">
        <f t="shared" si="213"/>
        <v>DANE</v>
      </c>
      <c r="B1314" s="2" t="str">
        <f t="shared" si="214"/>
        <v>CITY OF SUN PRAIRIE</v>
      </c>
      <c r="C1314" s="2" t="s">
        <v>604</v>
      </c>
      <c r="D1314" s="2" t="str">
        <f>CLEAN("6085-02-75")</f>
        <v>6085-02-75</v>
      </c>
      <c r="E1314" s="3" t="str">
        <f>CLEAN("MAZOMANIE - SUN PRAIRIE")</f>
        <v>MAZOMANIE - SUN PRAIRIE</v>
      </c>
      <c r="F1314" s="3" t="str">
        <f>CLEAN("USH 151 INTERCHANGE")</f>
        <v>USH 151 INTERCHANGE</v>
      </c>
      <c r="G1314" s="3" t="str">
        <f>CLEAN("CONST/LONG LT TURN LNS/MONOTUB/MISC")</f>
        <v>CONST/LONG LT TURN LNS/MONOTUB/MISC</v>
      </c>
      <c r="H1314" s="2" t="str">
        <f>CLEAN("STH 019")</f>
        <v>STH 019</v>
      </c>
      <c r="I1314" s="2" t="str">
        <f>CLEAN("303")</f>
        <v>303</v>
      </c>
    </row>
    <row r="1315" spans="1:9" x14ac:dyDescent="0.35">
      <c r="A1315" s="2" t="str">
        <f t="shared" si="213"/>
        <v>DANE</v>
      </c>
      <c r="B1315" s="2" t="str">
        <f t="shared" si="214"/>
        <v>CITY OF SUN PRAIRIE</v>
      </c>
      <c r="C1315" s="2" t="s">
        <v>733</v>
      </c>
      <c r="D1315" s="2" t="str">
        <f>CLEAN("6085-02-76")</f>
        <v>6085-02-76</v>
      </c>
      <c r="E1315" s="3" t="str">
        <f>CLEAN("MAZOMANIE - SUN PRAIRIE")</f>
        <v>MAZOMANIE - SUN PRAIRIE</v>
      </c>
      <c r="F1315" s="3" t="str">
        <f>CLEAN("WESTMOUNT DRIVE INTERSECTION")</f>
        <v>WESTMOUNT DRIVE INTERSECTION</v>
      </c>
      <c r="G1315" s="3" t="str">
        <f>CLEAN("CONST/RAB/RECST")</f>
        <v>CONST/RAB/RECST</v>
      </c>
      <c r="H1315" s="2" t="str">
        <f>CLEAN("STH 019")</f>
        <v>STH 019</v>
      </c>
      <c r="I1315" s="2" t="str">
        <f>CLEAN("303")</f>
        <v>303</v>
      </c>
    </row>
    <row r="1316" spans="1:9" x14ac:dyDescent="0.35">
      <c r="A1316" s="2" t="str">
        <f t="shared" si="213"/>
        <v>DANE</v>
      </c>
      <c r="B1316" s="2" t="str">
        <f t="shared" si="214"/>
        <v>CITY OF SUN PRAIRIE</v>
      </c>
      <c r="C1316" s="2" t="s">
        <v>592</v>
      </c>
      <c r="D1316" s="2" t="str">
        <f>CLEAN("6085-02-77")</f>
        <v>6085-02-77</v>
      </c>
      <c r="E1316" s="3" t="str">
        <f>CLEAN("C SUN PRAIRIE  WINDSOR STREET")</f>
        <v>C SUN PRAIRIE  WINDSOR STREET</v>
      </c>
      <c r="F1316" s="3" t="str">
        <f>CLEAN("N THOMPSON RD INTR;DAVISON DR INTR")</f>
        <v>N THOMPSON RD INTR;DAVISON DR INTR</v>
      </c>
      <c r="G1316" s="3" t="str">
        <f>CLEAN("CONST/LEFT TURN LNS/MONOTUBES/MISC")</f>
        <v>CONST/LEFT TURN LNS/MONOTUBES/MISC</v>
      </c>
      <c r="H1316" s="2" t="str">
        <f>CLEAN("STH 019")</f>
        <v>STH 019</v>
      </c>
      <c r="I1316" s="2" t="str">
        <f>CLEAN("303")</f>
        <v>303</v>
      </c>
    </row>
    <row r="1317" spans="1:9" x14ac:dyDescent="0.35">
      <c r="A1317" s="2" t="str">
        <f t="shared" si="213"/>
        <v>DANE</v>
      </c>
      <c r="B1317" s="2" t="str">
        <f t="shared" si="214"/>
        <v>CITY OF SUN PRAIRIE</v>
      </c>
      <c r="C1317" s="2" t="s">
        <v>361</v>
      </c>
      <c r="D1317" s="2" t="str">
        <f>CLEAN("6085-02-78")</f>
        <v>6085-02-78</v>
      </c>
      <c r="E1317" s="3" t="str">
        <f>CLEAN("MAZOMANIE - SUN PRAIRIE")</f>
        <v>MAZOMANIE - SUN PRAIRIE</v>
      </c>
      <c r="F1317" s="3" t="str">
        <f>CLEAN("WESTMOUNT DRIVE INTERSECTION")</f>
        <v>WESTMOUNT DRIVE INTERSECTION</v>
      </c>
      <c r="G1317" s="3" t="str">
        <f>CLEAN("CONST/ WATER MAIN/ RECST")</f>
        <v>CONST/ WATER MAIN/ RECST</v>
      </c>
      <c r="H1317" s="2" t="str">
        <f>CLEAN("STH 019")</f>
        <v>STH 019</v>
      </c>
      <c r="I1317" s="2" t="str">
        <f>CLEAN("303")</f>
        <v>303</v>
      </c>
    </row>
    <row r="1318" spans="1:9" x14ac:dyDescent="0.35">
      <c r="A1318" s="2" t="str">
        <f t="shared" ref="A1318:A1328" si="215">CLEAN("DOUGLAS")</f>
        <v>DOUGLAS</v>
      </c>
      <c r="B1318" s="2" t="str">
        <f t="shared" ref="B1318:B1328" si="216">CLEAN("CITY OF SUPERIOR")</f>
        <v>CITY OF SUPERIOR</v>
      </c>
      <c r="C1318" s="2" t="s">
        <v>1337</v>
      </c>
      <c r="D1318" s="2" t="str">
        <f>CLEAN("1198-03-73")</f>
        <v>1198-03-73</v>
      </c>
      <c r="E1318" s="3" t="str">
        <f>CLEAN("C SUPERIOR  EAST SECOND STREET")</f>
        <v>C SUPERIOR  EAST SECOND STREET</v>
      </c>
      <c r="F1318" s="3" t="str">
        <f>CLEAN("2ND AVENUE EAST TO HUGHITT AVENUE")</f>
        <v>2ND AVENUE EAST TO HUGHITT AVENUE</v>
      </c>
      <c r="G1318" s="3" t="str">
        <f>CLEAN("CONSTRUCTION/RESURFACE")</f>
        <v>CONSTRUCTION/RESURFACE</v>
      </c>
      <c r="H1318" s="2" t="str">
        <f>CLEAN("USH 053")</f>
        <v>USH 053</v>
      </c>
      <c r="I1318" s="2" t="str">
        <f>CLEAN("303")</f>
        <v>303</v>
      </c>
    </row>
    <row r="1319" spans="1:9" x14ac:dyDescent="0.35">
      <c r="A1319" s="2" t="str">
        <f t="shared" si="215"/>
        <v>DOUGLAS</v>
      </c>
      <c r="B1319" s="2" t="str">
        <f t="shared" si="216"/>
        <v>CITY OF SUPERIOR</v>
      </c>
      <c r="C1319" s="2" t="s">
        <v>3165</v>
      </c>
      <c r="D1319" s="2" t="str">
        <f>CLEAN("1199-00-20")</f>
        <v>1199-00-20</v>
      </c>
      <c r="E1319" s="3" t="str">
        <f>CLEAN("SUPERIOR - DULUTH")</f>
        <v>SUPERIOR - DULUTH</v>
      </c>
      <c r="F1319" s="3" t="str">
        <f>CLEAN("STLOUIS RV BR B16-0005-0001 TO 0005")</f>
        <v>STLOUIS RV BR B16-0005-0001 TO 0005</v>
      </c>
      <c r="G1319" s="3" t="str">
        <f>CLEAN("REAL ESTATE ACQUISITION")</f>
        <v>REAL ESTATE ACQUISITION</v>
      </c>
      <c r="H1319" s="2" t="str">
        <f>CLEAN("IH  535")</f>
        <v>IH  535</v>
      </c>
      <c r="I1319" s="2" t="str">
        <f>CLEAN("304")</f>
        <v>304</v>
      </c>
    </row>
    <row r="1320" spans="1:9" x14ac:dyDescent="0.35">
      <c r="A1320" s="2" t="str">
        <f t="shared" si="215"/>
        <v>DOUGLAS</v>
      </c>
      <c r="B1320" s="2" t="str">
        <f t="shared" si="216"/>
        <v>CITY OF SUPERIOR</v>
      </c>
      <c r="C1320" s="2" t="s">
        <v>1135</v>
      </c>
      <c r="D1320" s="2" t="str">
        <f>CLEAN("1199-00-78")</f>
        <v>1199-00-78</v>
      </c>
      <c r="E1320" s="3" t="str">
        <f>CLEAN("SUPERIOR - DULUTH")</f>
        <v>SUPERIOR - DULUTH</v>
      </c>
      <c r="F1320" s="3" t="str">
        <f>CLEAN("STLOUIS RV BR B16-0005-0001 TO 0005")</f>
        <v>STLOUIS RV BR B16-0005-0001 TO 0005</v>
      </c>
      <c r="G1320" s="3" t="str">
        <f>CLEAN("CONSTR/REIMBURSEMENT TO MINNESOTA")</f>
        <v>CONSTR/REIMBURSEMENT TO MINNESOTA</v>
      </c>
      <c r="H1320" s="2" t="str">
        <f>CLEAN("IH  535")</f>
        <v>IH  535</v>
      </c>
      <c r="I1320" s="2" t="str">
        <f>CLEAN("304")</f>
        <v>304</v>
      </c>
    </row>
    <row r="1321" spans="1:9" x14ac:dyDescent="0.35">
      <c r="A1321" s="2" t="str">
        <f t="shared" si="215"/>
        <v>DOUGLAS</v>
      </c>
      <c r="B1321" s="2" t="str">
        <f t="shared" si="216"/>
        <v>CITY OF SUPERIOR</v>
      </c>
      <c r="C1321" s="2" t="s">
        <v>1136</v>
      </c>
      <c r="D1321" s="2" t="str">
        <f>CLEAN("1199-00-79")</f>
        <v>1199-00-79</v>
      </c>
      <c r="E1321" s="3" t="str">
        <f>CLEAN("SUPERIOR - DULUTH")</f>
        <v>SUPERIOR - DULUTH</v>
      </c>
      <c r="F1321" s="3" t="str">
        <f>CLEAN("STLOUIS RV BR B16-0005-0001 TO 0005")</f>
        <v>STLOUIS RV BR B16-0005-0001 TO 0005</v>
      </c>
      <c r="G1321" s="3" t="str">
        <f>CLEAN("CONSTR/REIMBURSEMENT TO MINNESOTA")</f>
        <v>CONSTR/REIMBURSEMENT TO MINNESOTA</v>
      </c>
      <c r="H1321" s="2" t="str">
        <f>CLEAN("IH  535")</f>
        <v>IH  535</v>
      </c>
      <c r="I1321" s="2" t="str">
        <f>CLEAN("304")</f>
        <v>304</v>
      </c>
    </row>
    <row r="1322" spans="1:9" x14ac:dyDescent="0.35">
      <c r="A1322" s="2" t="str">
        <f t="shared" si="215"/>
        <v>DOUGLAS</v>
      </c>
      <c r="B1322" s="2" t="str">
        <f t="shared" si="216"/>
        <v>CITY OF SUPERIOR</v>
      </c>
      <c r="C1322" s="2" t="s">
        <v>1543</v>
      </c>
      <c r="D1322" s="2" t="str">
        <f>CLEAN("8010-00-03")</f>
        <v>8010-00-03</v>
      </c>
      <c r="E1322" s="3" t="str">
        <f>CLEAN("C SUPERIOR  TOWER AVENUE")</f>
        <v>C SUPERIOR  TOWER AVENUE</v>
      </c>
      <c r="F1322" s="3" t="str">
        <f>CLEAN("64TH STREET TO BELKNAP STREET")</f>
        <v>64TH STREET TO BELKNAP STREET</v>
      </c>
      <c r="G1322" s="3" t="str">
        <f>CLEAN("DESIGN - FULL PS&amp;E RESURFACE")</f>
        <v>DESIGN - FULL PS&amp;E RESURFACE</v>
      </c>
      <c r="H1322" s="2" t="str">
        <f>CLEAN("STH 035")</f>
        <v>STH 035</v>
      </c>
      <c r="I1322" s="2" t="str">
        <f>CLEAN("303")</f>
        <v>303</v>
      </c>
    </row>
    <row r="1323" spans="1:9" x14ac:dyDescent="0.35">
      <c r="A1323" s="2" t="str">
        <f t="shared" si="215"/>
        <v>DOUGLAS</v>
      </c>
      <c r="B1323" s="2" t="str">
        <f t="shared" si="216"/>
        <v>CITY OF SUPERIOR</v>
      </c>
      <c r="C1323" s="2" t="s">
        <v>1351</v>
      </c>
      <c r="D1323" s="2" t="str">
        <f>CLEAN("8760-00-71")</f>
        <v>8760-00-71</v>
      </c>
      <c r="E1323" s="3" t="str">
        <f>CLEAN("OLIVER - SUPERIOR")</f>
        <v>OLIVER - SUPERIOR</v>
      </c>
      <c r="F1323" s="3" t="str">
        <f>CLEAN("MN/WI STATE LINE TO STH 35")</f>
        <v>MN/WI STATE LINE TO STH 35</v>
      </c>
      <c r="G1323" s="3" t="str">
        <f>CLEAN("CONSTRUCTION/RESURFACE")</f>
        <v>CONSTRUCTION/RESURFACE</v>
      </c>
      <c r="H1323" s="2" t="str">
        <f>CLEAN("STH 105")</f>
        <v>STH 105</v>
      </c>
      <c r="I1323" s="2" t="str">
        <f>CLEAN("303")</f>
        <v>303</v>
      </c>
    </row>
    <row r="1324" spans="1:9" x14ac:dyDescent="0.35">
      <c r="A1324" s="2" t="str">
        <f t="shared" si="215"/>
        <v>DOUGLAS</v>
      </c>
      <c r="B1324" s="2" t="str">
        <f t="shared" si="216"/>
        <v>CITY OF SUPERIOR</v>
      </c>
      <c r="C1324" s="2" t="s">
        <v>1329</v>
      </c>
      <c r="D1324" s="2" t="str">
        <f>CLEAN("8998-00-36")</f>
        <v>8998-00-36</v>
      </c>
      <c r="E1324" s="3" t="str">
        <f>CLEAN("C SUPERIOR  HAMMOND AVE")</f>
        <v>C SUPERIOR  HAMMOND AVE</v>
      </c>
      <c r="F1324" s="3" t="str">
        <f>CLEAN("N 21ST STREET TO N 28TH STREET")</f>
        <v>N 21ST STREET TO N 28TH STREET</v>
      </c>
      <c r="G1324" s="3" t="str">
        <f>CLEAN("CONSTRUCTION/RECONSTRUCTION")</f>
        <v>CONSTRUCTION/RECONSTRUCTION</v>
      </c>
      <c r="H1324" s="2" t="str">
        <f>CLEAN("LOC STR")</f>
        <v>LOC STR</v>
      </c>
      <c r="I1324" s="2" t="str">
        <f>CLEAN("206")</f>
        <v>206</v>
      </c>
    </row>
    <row r="1325" spans="1:9" x14ac:dyDescent="0.35">
      <c r="A1325" s="2" t="str">
        <f t="shared" si="215"/>
        <v>DOUGLAS</v>
      </c>
      <c r="B1325" s="2" t="str">
        <f t="shared" si="216"/>
        <v>CITY OF SUPERIOR</v>
      </c>
      <c r="C1325" s="2" t="s">
        <v>3230</v>
      </c>
      <c r="D1325" s="2" t="str">
        <f>CLEAN("8998-00-55")</f>
        <v>8998-00-55</v>
      </c>
      <c r="E1325" s="3" t="str">
        <f>CLEAN("C SUPERIOR  N 28TH STREET")</f>
        <v>C SUPERIOR  N 28TH STREET</v>
      </c>
      <c r="F1325" s="3" t="str">
        <f>CLEAN("UNION PACIFIC RR CROSSING 186 144U")</f>
        <v>UNION PACIFIC RR CROSSING 186 144U</v>
      </c>
      <c r="G1325" s="3" t="str">
        <f>CLEAN("RR OPS/INSTALL SIGNALS &amp; GATES")</f>
        <v>RR OPS/INSTALL SIGNALS &amp; GATES</v>
      </c>
      <c r="H1325" s="2" t="str">
        <f>CLEAN("LOC STR")</f>
        <v>LOC STR</v>
      </c>
      <c r="I1325" s="2" t="str">
        <f>CLEAN("206")</f>
        <v>206</v>
      </c>
    </row>
    <row r="1326" spans="1:9" x14ac:dyDescent="0.35">
      <c r="A1326" s="2" t="str">
        <f t="shared" si="215"/>
        <v>DOUGLAS</v>
      </c>
      <c r="B1326" s="2" t="str">
        <f t="shared" si="216"/>
        <v>CITY OF SUPERIOR</v>
      </c>
      <c r="C1326" s="2" t="s">
        <v>3241</v>
      </c>
      <c r="D1326" s="2" t="str">
        <f>CLEAN("8998-00-56")</f>
        <v>8998-00-56</v>
      </c>
      <c r="E1326" s="3" t="str">
        <f>CLEAN("C SUPERIOR  N 28TH STREET")</f>
        <v>C SUPERIOR  N 28TH STREET</v>
      </c>
      <c r="F1326" s="3" t="str">
        <f>CLEAN("UNION PACIFIC RR CROSSING 186 144U")</f>
        <v>UNION PACIFIC RR CROSSING 186 144U</v>
      </c>
      <c r="G1326" s="3" t="str">
        <f>CLEAN("RR OPS/RAIL XING ROADWAY SURFACE")</f>
        <v>RR OPS/RAIL XING ROADWAY SURFACE</v>
      </c>
      <c r="H1326" s="2" t="str">
        <f>CLEAN("LOC STR")</f>
        <v>LOC STR</v>
      </c>
      <c r="I1326" s="2" t="str">
        <f>CLEAN("206")</f>
        <v>206</v>
      </c>
    </row>
    <row r="1327" spans="1:9" x14ac:dyDescent="0.35">
      <c r="A1327" s="2" t="str">
        <f t="shared" si="215"/>
        <v>DOUGLAS</v>
      </c>
      <c r="B1327" s="2" t="str">
        <f t="shared" si="216"/>
        <v>CITY OF SUPERIOR</v>
      </c>
      <c r="C1327" s="2" t="s">
        <v>1652</v>
      </c>
      <c r="D1327" s="2" t="str">
        <f>CLEAN("8998-00-61")</f>
        <v>8998-00-61</v>
      </c>
      <c r="E1327" s="3" t="str">
        <f>CLEAN("C SUPERIOR  MARINA DRIVE")</f>
        <v>C SUPERIOR  MARINA DRIVE</v>
      </c>
      <c r="F1327" s="3" t="str">
        <f>CLEAN("MARINA DRIVE N TO BARKERS ISLAND")</f>
        <v>MARINA DRIVE N TO BARKERS ISLAND</v>
      </c>
      <c r="G1327" s="3" t="str">
        <f>CLEAN("DESIGN - FULL PS&amp;E/RECONSTRUCTION")</f>
        <v>DESIGN - FULL PS&amp;E/RECONSTRUCTION</v>
      </c>
      <c r="H1327" s="2" t="str">
        <f>CLEAN("LOC STR")</f>
        <v>LOC STR</v>
      </c>
      <c r="I1327" s="2" t="str">
        <f>CLEAN("206")</f>
        <v>206</v>
      </c>
    </row>
    <row r="1328" spans="1:9" x14ac:dyDescent="0.35">
      <c r="A1328" s="2" t="str">
        <f t="shared" si="215"/>
        <v>DOUGLAS</v>
      </c>
      <c r="B1328" s="2" t="str">
        <f t="shared" si="216"/>
        <v>CITY OF SUPERIOR</v>
      </c>
      <c r="C1328" s="2" t="s">
        <v>1390</v>
      </c>
      <c r="D1328" s="2" t="str">
        <f>CLEAN("8998-00-63")</f>
        <v>8998-00-63</v>
      </c>
      <c r="E1328" s="3" t="str">
        <f>CLEAN("C SUPERIOR  VARIOUS LOCATIONS")</f>
        <v>C SUPERIOR  VARIOUS LOCATIONS</v>
      </c>
      <c r="F1328" s="3" t="str">
        <f>CLEAN("21 SIGNALIZED INTERSECTIONS")</f>
        <v>21 SIGNALIZED INTERSECTIONS</v>
      </c>
      <c r="G1328" s="3" t="str">
        <f>CLEAN("CRP/EMERGENCY VEHICLE PREEMPTION")</f>
        <v>CRP/EMERGENCY VEHICLE PREEMPTION</v>
      </c>
      <c r="H1328" s="2" t="str">
        <f>CLEAN("OFF SYS")</f>
        <v>OFF SYS</v>
      </c>
      <c r="I1328" s="2" t="str">
        <f>CLEAN("206")</f>
        <v>206</v>
      </c>
    </row>
    <row r="1329" spans="1:9" x14ac:dyDescent="0.35">
      <c r="A1329" s="2" t="str">
        <f>CLEAN("MONROE")</f>
        <v>MONROE</v>
      </c>
      <c r="B1329" s="2" t="str">
        <f>CLEAN("CITY OF TOMAH")</f>
        <v>CITY OF TOMAH</v>
      </c>
      <c r="C1329" s="2" t="s">
        <v>2305</v>
      </c>
      <c r="D1329" s="2" t="str">
        <f>CLEAN("5881-07-02")</f>
        <v>5881-07-02</v>
      </c>
      <c r="E1329" s="3" t="str">
        <f>CLEAN("C TOMAH  CLIFTON STREET")</f>
        <v>C TOMAH  CLIFTON STREET</v>
      </c>
      <c r="F1329" s="3" t="str">
        <f>CLEAN("HOLLISTER AVENUE TO USH 12")</f>
        <v>HOLLISTER AVENUE TO USH 12</v>
      </c>
      <c r="G1329" s="3" t="str">
        <f>CLEAN("DESIGN-FULL PS&amp;E PVRPLA")</f>
        <v>DESIGN-FULL PS&amp;E PVRPLA</v>
      </c>
      <c r="H1329" s="2" t="str">
        <f>CLEAN("STH 016")</f>
        <v>STH 016</v>
      </c>
      <c r="I1329" s="2" t="str">
        <f>CLEAN("303")</f>
        <v>303</v>
      </c>
    </row>
    <row r="1330" spans="1:9" x14ac:dyDescent="0.35">
      <c r="A1330" s="2" t="str">
        <f>CLEAN("MONROE")</f>
        <v>MONROE</v>
      </c>
      <c r="B1330" s="2" t="str">
        <f>CLEAN("CITY OF TOMAH")</f>
        <v>CITY OF TOMAH</v>
      </c>
      <c r="C1330" s="2" t="s">
        <v>2188</v>
      </c>
      <c r="D1330" s="2" t="str">
        <f>CLEAN("7998-00-05")</f>
        <v>7998-00-05</v>
      </c>
      <c r="E1330" s="3" t="str">
        <f>CLEAN("CITY OF TOMAH  N GLENDALE AVENUE")</f>
        <v>CITY OF TOMAH  N GLENDALE AVENUE</v>
      </c>
      <c r="F1330" s="3" t="str">
        <f>CLEAN("E WASHINGTON ST TO ARTHUR ST")</f>
        <v>E WASHINGTON ST TO ARTHUR ST</v>
      </c>
      <c r="G1330" s="3" t="str">
        <f>CLEAN("DESIGN/PLAN CHECK REVIEW/RECST")</f>
        <v>DESIGN/PLAN CHECK REVIEW/RECST</v>
      </c>
      <c r="H1330" s="2" t="str">
        <f>CLEAN("LOC STR")</f>
        <v>LOC STR</v>
      </c>
      <c r="I1330" s="2" t="str">
        <f>CLEAN("206")</f>
        <v>206</v>
      </c>
    </row>
    <row r="1331" spans="1:9" x14ac:dyDescent="0.35">
      <c r="A1331" s="2" t="str">
        <f>CLEAN("MONROE")</f>
        <v>MONROE</v>
      </c>
      <c r="B1331" s="2" t="str">
        <f>CLEAN("CITY OF TOMAH")</f>
        <v>CITY OF TOMAH</v>
      </c>
      <c r="C1331" s="2" t="s">
        <v>1098</v>
      </c>
      <c r="D1331" s="2" t="str">
        <f>CLEAN("7998-00-78")</f>
        <v>7998-00-78</v>
      </c>
      <c r="E1331" s="3" t="str">
        <f>CLEAN("TOMAH - MAUSTON")</f>
        <v>TOMAH - MAUSTON</v>
      </c>
      <c r="F1331" s="3" t="str">
        <f>CLEAN("VETERANS STREET INTERSECTION AREA")</f>
        <v>VETERANS STREET INTERSECTION AREA</v>
      </c>
      <c r="G1331" s="3" t="str">
        <f>CLEAN("CONST/WATER MAIN &amp; SAN SEWER/PVRPLA")</f>
        <v>CONST/WATER MAIN &amp; SAN SEWER/PVRPLA</v>
      </c>
      <c r="H1331" s="2" t="str">
        <f>CLEAN("USH 012")</f>
        <v>USH 012</v>
      </c>
      <c r="I1331" s="2" t="str">
        <f>CLEAN("303")</f>
        <v>303</v>
      </c>
    </row>
    <row r="1332" spans="1:9" x14ac:dyDescent="0.35">
      <c r="A1332" s="2" t="str">
        <f>CLEAN("LINCOLN")</f>
        <v>LINCOLN</v>
      </c>
      <c r="B1332" s="2" t="str">
        <f>CLEAN("CITY OF TOMAHAWK")</f>
        <v>CITY OF TOMAHAWK</v>
      </c>
      <c r="C1332" s="2" t="s">
        <v>1924</v>
      </c>
      <c r="D1332" s="2" t="str">
        <f>CLEAN("9215-01-04")</f>
        <v>9215-01-04</v>
      </c>
      <c r="E1332" s="3" t="str">
        <f>CLEAN("C TOMAHAWK  SOMO AVENUE")</f>
        <v>C TOMAHAWK  SOMO AVENUE</v>
      </c>
      <c r="F1332" s="3" t="str">
        <f>CLEAN("TOMAHAWK AVENUE TO CHARLOTTE STREET")</f>
        <v>TOMAHAWK AVENUE TO CHARLOTTE STREET</v>
      </c>
      <c r="G1332" s="3" t="str">
        <f>CLEAN("DESIGN/FULL PSE/PVRPLA")</f>
        <v>DESIGN/FULL PSE/PVRPLA</v>
      </c>
      <c r="H1332" s="2" t="str">
        <f>CLEAN("STH 086")</f>
        <v>STH 086</v>
      </c>
      <c r="I1332" s="2" t="str">
        <f>CLEAN("303")</f>
        <v>303</v>
      </c>
    </row>
    <row r="1333" spans="1:9" x14ac:dyDescent="0.35">
      <c r="A1333" s="2" t="str">
        <f>CLEAN("LINCOLN")</f>
        <v>LINCOLN</v>
      </c>
      <c r="B1333" s="2" t="str">
        <f>CLEAN("CITY OF TOMAHAWK")</f>
        <v>CITY OF TOMAHAWK</v>
      </c>
      <c r="C1333" s="2" t="s">
        <v>1395</v>
      </c>
      <c r="D1333" s="2" t="str">
        <f>CLEAN("9215-01-05")</f>
        <v>9215-01-05</v>
      </c>
      <c r="E1333" s="3" t="str">
        <f>CLEAN("C TOMAHAWK  TOMAHAWK AVENUE")</f>
        <v>C TOMAHAWK  TOMAHAWK AVENUE</v>
      </c>
      <c r="F1333" s="3" t="str">
        <f>CLEAN("WISC RIVER BRIDGE TO SOMO AVENUE")</f>
        <v>WISC RIVER BRIDGE TO SOMO AVENUE</v>
      </c>
      <c r="G1333" s="3" t="str">
        <f>CLEAN("DES/FULL PSE/PAVEMENT REPLACEMENT")</f>
        <v>DES/FULL PSE/PAVEMENT REPLACEMENT</v>
      </c>
      <c r="H1333" s="2" t="str">
        <f>CLEAN("STH 086")</f>
        <v>STH 086</v>
      </c>
      <c r="I1333" s="2" t="str">
        <f>CLEAN("303")</f>
        <v>303</v>
      </c>
    </row>
    <row r="1334" spans="1:9" x14ac:dyDescent="0.35">
      <c r="A1334" s="2" t="str">
        <f>CLEAN("LINCOLN")</f>
        <v>LINCOLN</v>
      </c>
      <c r="B1334" s="2" t="str">
        <f>CLEAN("CITY OF TOMAHAWK")</f>
        <v>CITY OF TOMAHAWK</v>
      </c>
      <c r="C1334" s="2" t="s">
        <v>2606</v>
      </c>
      <c r="D1334" s="2" t="str">
        <f>CLEAN("1009-47-35")</f>
        <v>1009-47-35</v>
      </c>
      <c r="E1334" s="3" t="str">
        <f>CLEAN("BICYCLE AND PEDESTRIAN PLAN")</f>
        <v>BICYCLE AND PEDESTRIAN PLAN</v>
      </c>
      <c r="F1334" s="3" t="str">
        <f>CLEAN("CITY OF TOMAHAWK")</f>
        <v>CITY OF TOMAHAWK</v>
      </c>
      <c r="G1334" s="3" t="str">
        <f>CLEAN("PE - FACILITY PLANNING")</f>
        <v>PE - FACILITY PLANNING</v>
      </c>
      <c r="H1334" s="2" t="str">
        <f>CLEAN("NON HWY")</f>
        <v>NON HWY</v>
      </c>
      <c r="I1334" s="2" t="str">
        <f>CLEAN("290")</f>
        <v>290</v>
      </c>
    </row>
    <row r="1335" spans="1:9" x14ac:dyDescent="0.35">
      <c r="A1335" s="2" t="str">
        <f>CLEAN("LINCOLN")</f>
        <v>LINCOLN</v>
      </c>
      <c r="B1335" s="2" t="str">
        <f>CLEAN("CITY OF TOMAHAWK")</f>
        <v>CITY OF TOMAHAWK</v>
      </c>
      <c r="C1335" s="2" t="s">
        <v>1696</v>
      </c>
      <c r="D1335" s="2" t="str">
        <f>CLEAN("9855-00-00")</f>
        <v>9855-00-00</v>
      </c>
      <c r="E1335" s="3" t="str">
        <f>CLEAN("C TOMAHAWK  SRTS SIDEWALK")</f>
        <v>C TOMAHAWK  SRTS SIDEWALK</v>
      </c>
      <c r="F1335" s="3" t="str">
        <f>CLEAN("KINGS ROAD TO SUNSET BLVD PARK")</f>
        <v>KINGS ROAD TO SUNSET BLVD PARK</v>
      </c>
      <c r="G1335" s="3" t="str">
        <f>CLEAN("DESIGN OVERSITE")</f>
        <v>DESIGN OVERSITE</v>
      </c>
      <c r="H1335" s="2" t="str">
        <f>CLEAN("NON HWY")</f>
        <v>NON HWY</v>
      </c>
      <c r="I1335" s="2" t="str">
        <f>CLEAN("290")</f>
        <v>290</v>
      </c>
    </row>
    <row r="1336" spans="1:9" x14ac:dyDescent="0.35">
      <c r="A1336" s="2" t="str">
        <f>CLEAN("LINCOLN")</f>
        <v>LINCOLN</v>
      </c>
      <c r="B1336" s="2" t="str">
        <f>CLEAN("CITY OF TOMAHAWK")</f>
        <v>CITY OF TOMAHAWK</v>
      </c>
      <c r="C1336" s="2" t="s">
        <v>630</v>
      </c>
      <c r="D1336" s="2" t="str">
        <f>CLEAN("9855-00-70")</f>
        <v>9855-00-70</v>
      </c>
      <c r="E1336" s="3" t="str">
        <f>CLEAN("C TOMAHAWK  SRTS SIDEWALK")</f>
        <v>C TOMAHAWK  SRTS SIDEWALK</v>
      </c>
      <c r="F1336" s="3" t="str">
        <f>CLEAN("KINGS ROAD TO SUNSET BLVD PARK")</f>
        <v>KINGS ROAD TO SUNSET BLVD PARK</v>
      </c>
      <c r="G1336" s="3" t="str">
        <f>CLEAN("CONST/MISC")</f>
        <v>CONST/MISC</v>
      </c>
      <c r="H1336" s="2" t="str">
        <f>CLEAN("NON HWY")</f>
        <v>NON HWY</v>
      </c>
      <c r="I1336" s="2" t="str">
        <f>CLEAN("290")</f>
        <v>290</v>
      </c>
    </row>
    <row r="1337" spans="1:9" x14ac:dyDescent="0.35">
      <c r="A1337" s="2" t="str">
        <f>CLEAN("MANITOWOC")</f>
        <v>MANITOWOC</v>
      </c>
      <c r="B1337" s="2" t="str">
        <f>CLEAN("CITY OF TWO RIVERS")</f>
        <v>CITY OF TWO RIVERS</v>
      </c>
      <c r="C1337" s="2" t="s">
        <v>2344</v>
      </c>
      <c r="D1337" s="2" t="str">
        <f>CLEAN("1470-33-00")</f>
        <v>1470-33-00</v>
      </c>
      <c r="E1337" s="3" t="str">
        <f>CLEAN("CITY OF TWO RIVERS  WASHINGTON ST")</f>
        <v>CITY OF TWO RIVERS  WASHINGTON ST</v>
      </c>
      <c r="F1337" s="3" t="str">
        <f>CLEAN("WEST TWIN RIVER BRIDGE B360117")</f>
        <v>WEST TWIN RIVER BRIDGE B360117</v>
      </c>
      <c r="G1337" s="3" t="str">
        <f>CLEAN("DSGN/DECK OVERLAY")</f>
        <v>DSGN/DECK OVERLAY</v>
      </c>
      <c r="H1337" s="2" t="str">
        <f>CLEAN("STH 042")</f>
        <v>STH 042</v>
      </c>
      <c r="I1337" s="2" t="str">
        <f>CLEAN("303")</f>
        <v>303</v>
      </c>
    </row>
    <row r="1338" spans="1:9" x14ac:dyDescent="0.35">
      <c r="A1338" s="2" t="str">
        <f>CLEAN("DANE")</f>
        <v>DANE</v>
      </c>
      <c r="B1338" s="2" t="str">
        <f>CLEAN("CITY OF VERONA")</f>
        <v>CITY OF VERONA</v>
      </c>
      <c r="C1338" s="2" t="s">
        <v>2067</v>
      </c>
      <c r="D1338" s="2" t="str">
        <f>CLEAN("5887-00-04")</f>
        <v>5887-00-04</v>
      </c>
      <c r="E1338" s="3" t="str">
        <f>CLEAN("C VERONA  W. VERONA AVENUE")</f>
        <v>C VERONA  W. VERONA AVENUE</v>
      </c>
      <c r="F1338" s="3" t="str">
        <f>CLEAN("WESTLAWN AVE INTERSECTION")</f>
        <v>WESTLAWN AVE INTERSECTION</v>
      </c>
      <c r="G1338" s="3" t="str">
        <f>CLEAN("DESIGN/PLAN CHECK REVIEW")</f>
        <v>DESIGN/PLAN CHECK REVIEW</v>
      </c>
      <c r="H1338" s="2" t="str">
        <f>CLEAN("LOC STR")</f>
        <v>LOC STR</v>
      </c>
      <c r="I1338" s="2" t="str">
        <f>CLEAN("290")</f>
        <v>290</v>
      </c>
    </row>
    <row r="1339" spans="1:9" x14ac:dyDescent="0.35">
      <c r="A1339" s="2" t="str">
        <f>CLEAN("DANE")</f>
        <v>DANE</v>
      </c>
      <c r="B1339" s="2" t="str">
        <f>CLEAN("CITY OF VERONA")</f>
        <v>CITY OF VERONA</v>
      </c>
      <c r="C1339" s="2" t="s">
        <v>240</v>
      </c>
      <c r="D1339" s="2" t="str">
        <f>CLEAN("5992-09-82")</f>
        <v>5992-09-82</v>
      </c>
      <c r="E1339" s="3" t="str">
        <f>CLEAN("CITY OF VERONA  N MAIN STREET")</f>
        <v>CITY OF VERONA  N MAIN STREET</v>
      </c>
      <c r="F1339" s="3" t="str">
        <f>CLEAN("CROSS COUNTRY RD TO CTH PD")</f>
        <v>CROSS COUNTRY RD TO CTH PD</v>
      </c>
      <c r="G1339" s="3" t="str">
        <f>CLEAN("CONST OPS/RECONSTRUCTION")</f>
        <v>CONST OPS/RECONSTRUCTION</v>
      </c>
      <c r="H1339" s="2" t="str">
        <f>CLEAN("CTH M")</f>
        <v>CTH M</v>
      </c>
      <c r="I1339" s="2" t="str">
        <f>CLEAN("206")</f>
        <v>206</v>
      </c>
    </row>
    <row r="1340" spans="1:9" x14ac:dyDescent="0.35">
      <c r="A1340" s="2" t="str">
        <f>CLEAN("DANE")</f>
        <v>DANE</v>
      </c>
      <c r="B1340" s="2" t="str">
        <f>CLEAN("CITY OF VERONA")</f>
        <v>CITY OF VERONA</v>
      </c>
      <c r="C1340" s="2" t="s">
        <v>315</v>
      </c>
      <c r="D1340" s="2" t="str">
        <f>CLEAN("5992-09-87")</f>
        <v>5992-09-87</v>
      </c>
      <c r="E1340" s="3" t="str">
        <f>CLEAN("CITY OF VERONA  N MAIN STREET")</f>
        <v>CITY OF VERONA  N MAIN STREET</v>
      </c>
      <c r="F1340" s="3" t="str">
        <f>CLEAN("CROSS COUNTRY RD TO CTH PD")</f>
        <v>CROSS COUNTRY RD TO CTH PD</v>
      </c>
      <c r="G1340" s="3" t="str">
        <f>CLEAN("CONST OPS/UTILITIES")</f>
        <v>CONST OPS/UTILITIES</v>
      </c>
      <c r="H1340" s="2" t="str">
        <f>CLEAN("CTH M")</f>
        <v>CTH M</v>
      </c>
      <c r="I1340" s="2" t="str">
        <f>CLEAN("206")</f>
        <v>206</v>
      </c>
    </row>
    <row r="1341" spans="1:9" x14ac:dyDescent="0.35">
      <c r="A1341" s="2" t="str">
        <f t="shared" ref="A1341:A1348" si="217">CLEAN("VERNON")</f>
        <v>VERNON</v>
      </c>
      <c r="B1341" s="2" t="str">
        <f t="shared" ref="B1341:B1348" si="218">CLEAN("CITY OF VIROQUA")</f>
        <v>CITY OF VIROQUA</v>
      </c>
      <c r="C1341" s="2" t="s">
        <v>10</v>
      </c>
      <c r="D1341" s="2" t="str">
        <f>CLEAN("1009-22-15")</f>
        <v>1009-22-15</v>
      </c>
      <c r="E1341" s="3" t="str">
        <f>CLEAN("Viroqua Bike Ped And SRTS Plan")</f>
        <v>Viroqua Bike Ped And SRTS Plan</v>
      </c>
      <c r="F1341" s="3" t="str">
        <f>CLEAN("CITY OF VIROQUA")</f>
        <v>CITY OF VIROQUA</v>
      </c>
      <c r="G1341" s="3" t="str">
        <f>CLEAN("BIKE PED AND SRTS PLANNING")</f>
        <v>BIKE PED AND SRTS PLANNING</v>
      </c>
      <c r="H1341" s="2" t="str">
        <f>CLEAN("NON HWY")</f>
        <v>NON HWY</v>
      </c>
      <c r="I1341" s="2" t="str">
        <f>CLEAN("290")</f>
        <v>290</v>
      </c>
    </row>
    <row r="1342" spans="1:9" x14ac:dyDescent="0.35">
      <c r="A1342" s="2" t="str">
        <f t="shared" si="217"/>
        <v>VERNON</v>
      </c>
      <c r="B1342" s="2" t="str">
        <f t="shared" si="218"/>
        <v>CITY OF VIROQUA</v>
      </c>
      <c r="C1342" s="2" t="s">
        <v>1860</v>
      </c>
      <c r="D1342" s="2" t="str">
        <f>CLEAN("1640-01-04")</f>
        <v>1640-01-04</v>
      </c>
      <c r="E1342" s="3" t="str">
        <f>CLEAN("C VIROQUA  MAIN STREET")</f>
        <v>C VIROQUA  MAIN STREET</v>
      </c>
      <c r="F1342" s="3" t="str">
        <f>CLEAN("BRENDEL LN TO SOUTH WASHINGTON AVE")</f>
        <v>BRENDEL LN TO SOUTH WASHINGTON AVE</v>
      </c>
      <c r="G1342" s="3" t="str">
        <f>CLEAN("DESIGN/CONVERT TO TWLTL")</f>
        <v>DESIGN/CONVERT TO TWLTL</v>
      </c>
      <c r="H1342" s="2" t="str">
        <f>CLEAN("USH 014")</f>
        <v>USH 014</v>
      </c>
      <c r="I1342" s="2" t="str">
        <f>CLEAN("303")</f>
        <v>303</v>
      </c>
    </row>
    <row r="1343" spans="1:9" x14ac:dyDescent="0.35">
      <c r="A1343" s="2" t="str">
        <f t="shared" si="217"/>
        <v>VERNON</v>
      </c>
      <c r="B1343" s="2" t="str">
        <f t="shared" si="218"/>
        <v>CITY OF VIROQUA</v>
      </c>
      <c r="C1343" s="2" t="s">
        <v>1487</v>
      </c>
      <c r="D1343" s="2" t="str">
        <f>CLEAN("1640-01-06")</f>
        <v>1640-01-06</v>
      </c>
      <c r="E1343" s="3" t="str">
        <f>CLEAN("C VIROQUA  MAIN STREET")</f>
        <v>C VIROQUA  MAIN STREET</v>
      </c>
      <c r="F1343" s="3" t="str">
        <f>CLEAN("CTH BB/AIRPORT LANE INTERSECTION")</f>
        <v>CTH BB/AIRPORT LANE INTERSECTION</v>
      </c>
      <c r="G1343" s="3" t="str">
        <f>CLEAN("DESIGN - FULL PS&amp;E MISC")</f>
        <v>DESIGN - FULL PS&amp;E MISC</v>
      </c>
      <c r="H1343" s="2" t="str">
        <f>CLEAN("USH 014")</f>
        <v>USH 014</v>
      </c>
      <c r="I1343" s="2" t="str">
        <f>CLEAN("303")</f>
        <v>303</v>
      </c>
    </row>
    <row r="1344" spans="1:9" x14ac:dyDescent="0.35">
      <c r="A1344" s="2" t="str">
        <f t="shared" si="217"/>
        <v>VERNON</v>
      </c>
      <c r="B1344" s="2" t="str">
        <f t="shared" si="218"/>
        <v>CITY OF VIROQUA</v>
      </c>
      <c r="C1344" s="2" t="s">
        <v>1491</v>
      </c>
      <c r="D1344" s="2" t="str">
        <f>CLEAN("1640-01-08")</f>
        <v>1640-01-08</v>
      </c>
      <c r="E1344" s="3" t="str">
        <f>CLEAN("C VIROQUA  MAIN STREET")</f>
        <v>C VIROQUA  MAIN STREET</v>
      </c>
      <c r="F1344" s="3" t="str">
        <f>CLEAN("NEW ROADWAY/WALMART INTERSECTION")</f>
        <v>NEW ROADWAY/WALMART INTERSECTION</v>
      </c>
      <c r="G1344" s="3" t="str">
        <f>CLEAN("DESIGN - FULL PS&amp;E MISC")</f>
        <v>DESIGN - FULL PS&amp;E MISC</v>
      </c>
      <c r="H1344" s="2" t="str">
        <f>CLEAN("USH 014")</f>
        <v>USH 014</v>
      </c>
      <c r="I1344" s="2" t="str">
        <f>CLEAN("303")</f>
        <v>303</v>
      </c>
    </row>
    <row r="1345" spans="1:9" x14ac:dyDescent="0.35">
      <c r="A1345" s="2" t="str">
        <f t="shared" si="217"/>
        <v>VERNON</v>
      </c>
      <c r="B1345" s="2" t="str">
        <f t="shared" si="218"/>
        <v>CITY OF VIROQUA</v>
      </c>
      <c r="C1345" s="2" t="s">
        <v>533</v>
      </c>
      <c r="D1345" s="2" t="str">
        <f>CLEAN("1640-01-74")</f>
        <v>1640-01-74</v>
      </c>
      <c r="E1345" s="3" t="str">
        <f>CLEAN("C VIROQUA  MAIN STREET")</f>
        <v>C VIROQUA  MAIN STREET</v>
      </c>
      <c r="F1345" s="3" t="str">
        <f>CLEAN("BRENDEL LN TO SOUTH WASHINGTON AVE")</f>
        <v>BRENDEL LN TO SOUTH WASHINGTON AVE</v>
      </c>
      <c r="G1345" s="3" t="str">
        <f>CLEAN("CONST/CONVERT TO TWLTL/PSRS")</f>
        <v>CONST/CONVERT TO TWLTL/PSRS</v>
      </c>
      <c r="H1345" s="2" t="str">
        <f>CLEAN("USH 014")</f>
        <v>USH 014</v>
      </c>
      <c r="I1345" s="2" t="str">
        <f>CLEAN("303")</f>
        <v>303</v>
      </c>
    </row>
    <row r="1346" spans="1:9" x14ac:dyDescent="0.35">
      <c r="A1346" s="2" t="str">
        <f t="shared" si="217"/>
        <v>VERNON</v>
      </c>
      <c r="B1346" s="2" t="str">
        <f t="shared" si="218"/>
        <v>CITY OF VIROQUA</v>
      </c>
      <c r="C1346" s="2" t="s">
        <v>2059</v>
      </c>
      <c r="D1346" s="2" t="str">
        <f>CLEAN("5407-00-01")</f>
        <v>5407-00-01</v>
      </c>
      <c r="E1346" s="3" t="str">
        <f>CLEAN("C VIROQUA  PED/BIKE SAFETY PROJECT")</f>
        <v>C VIROQUA  PED/BIKE SAFETY PROJECT</v>
      </c>
      <c r="F1346" s="3" t="str">
        <f>CLEAN("SOUTH STREET TO DECKER STR (STH 56)")</f>
        <v>SOUTH STREET TO DECKER STR (STH 56)</v>
      </c>
      <c r="G1346" s="3" t="str">
        <f>CLEAN("DESIGN/PLAN CHECK REVIEW")</f>
        <v>DESIGN/PLAN CHECK REVIEW</v>
      </c>
      <c r="H1346" s="2" t="str">
        <f>CLEAN("NON HWY")</f>
        <v>NON HWY</v>
      </c>
      <c r="I1346" s="2" t="str">
        <f>CLEAN("290")</f>
        <v>290</v>
      </c>
    </row>
    <row r="1347" spans="1:9" x14ac:dyDescent="0.35">
      <c r="A1347" s="2" t="str">
        <f t="shared" si="217"/>
        <v>VERNON</v>
      </c>
      <c r="B1347" s="2" t="str">
        <f t="shared" si="218"/>
        <v>CITY OF VIROQUA</v>
      </c>
      <c r="C1347" s="2" t="s">
        <v>1536</v>
      </c>
      <c r="D1347" s="2" t="str">
        <f>CLEAN("5407-00-02")</f>
        <v>5407-00-02</v>
      </c>
      <c r="E1347" s="3" t="str">
        <f>CLEAN("C VIROQUA  EDUCATION AVENUE")</f>
        <v>C VIROQUA  EDUCATION AVENUE</v>
      </c>
      <c r="F1347" s="3" t="str">
        <f>CLEAN("JOHNSON STREET - STH 56")</f>
        <v>JOHNSON STREET - STH 56</v>
      </c>
      <c r="G1347" s="3" t="str">
        <f>CLEAN("DESIGN - FULL PS&amp;E RECST")</f>
        <v>DESIGN - FULL PS&amp;E RECST</v>
      </c>
      <c r="H1347" s="2" t="str">
        <f>CLEAN("LOC STR")</f>
        <v>LOC STR</v>
      </c>
      <c r="I1347" s="2" t="str">
        <f>CLEAN("206")</f>
        <v>206</v>
      </c>
    </row>
    <row r="1348" spans="1:9" x14ac:dyDescent="0.35">
      <c r="A1348" s="2" t="str">
        <f t="shared" si="217"/>
        <v>VERNON</v>
      </c>
      <c r="B1348" s="2" t="str">
        <f t="shared" si="218"/>
        <v>CITY OF VIROQUA</v>
      </c>
      <c r="C1348" s="2" t="s">
        <v>3027</v>
      </c>
      <c r="D1348" s="2" t="str">
        <f>CLEAN("5407-00-71")</f>
        <v>5407-00-71</v>
      </c>
      <c r="E1348" s="3" t="str">
        <f>CLEAN("C VIROQUA  PED/BIKE SAFETY PROJECT")</f>
        <v>C VIROQUA  PED/BIKE SAFETY PROJECT</v>
      </c>
      <c r="F1348" s="3" t="str">
        <f>CLEAN("SOUTH STREET TO DECKER STR (STH 56)")</f>
        <v>SOUTH STREET TO DECKER STR (STH 56)</v>
      </c>
      <c r="G1348" s="3" t="str">
        <f>CLEAN("PEDESTRAIN SAFETY IMPROVEMENTS")</f>
        <v>PEDESTRAIN SAFETY IMPROVEMENTS</v>
      </c>
      <c r="H1348" s="2" t="str">
        <f>CLEAN("NON HWY")</f>
        <v>NON HWY</v>
      </c>
      <c r="I1348" s="2" t="str">
        <f>CLEAN("290")</f>
        <v>290</v>
      </c>
    </row>
    <row r="1349" spans="1:9" x14ac:dyDescent="0.35">
      <c r="A1349" s="2" t="str">
        <f>CLEAN("BAYFIELD")</f>
        <v>BAYFIELD</v>
      </c>
      <c r="B1349" s="2" t="str">
        <f>CLEAN("CITY OF WASHBURN")</f>
        <v>CITY OF WASHBURN</v>
      </c>
      <c r="C1349" s="2" t="s">
        <v>2047</v>
      </c>
      <c r="D1349" s="2" t="str">
        <f>CLEAN("8160-00-06")</f>
        <v>8160-00-06</v>
      </c>
      <c r="E1349" s="3" t="str">
        <f>CLEAN("C WASHBURN  BAYFIELD STREET")</f>
        <v>C WASHBURN  BAYFIELD STREET</v>
      </c>
      <c r="F1349" s="3" t="str">
        <f>CLEAN("WASHINGTON AVE TO SUPERIOR AVE")</f>
        <v>WASHINGTON AVE TO SUPERIOR AVE</v>
      </c>
      <c r="G1349" s="3" t="str">
        <f>CLEAN("DESIGN/PAVEMENT REPLACEMENT")</f>
        <v>DESIGN/PAVEMENT REPLACEMENT</v>
      </c>
      <c r="H1349" s="2" t="str">
        <f>CLEAN("STH 013")</f>
        <v>STH 013</v>
      </c>
      <c r="I1349" s="2" t="str">
        <f t="shared" ref="I1349:I1356" si="219">CLEAN("303")</f>
        <v>303</v>
      </c>
    </row>
    <row r="1350" spans="1:9" x14ac:dyDescent="0.35">
      <c r="A1350" s="2" t="str">
        <f>CLEAN("BAYFIELD")</f>
        <v>BAYFIELD</v>
      </c>
      <c r="B1350" s="2" t="str">
        <f>CLEAN("CITY OF WASHBURN")</f>
        <v>CITY OF WASHBURN</v>
      </c>
      <c r="C1350" s="2" t="s">
        <v>3166</v>
      </c>
      <c r="D1350" s="2" t="str">
        <f>CLEAN("8160-00-25")</f>
        <v>8160-00-25</v>
      </c>
      <c r="E1350" s="3" t="str">
        <f>CLEAN("C WASHBURN  BAYFIELD STREET")</f>
        <v>C WASHBURN  BAYFIELD STREET</v>
      </c>
      <c r="F1350" s="3" t="str">
        <f>CLEAN("THOMPSON CREEK TO WASHINGTON AVE")</f>
        <v>THOMPSON CREEK TO WASHINGTON AVE</v>
      </c>
      <c r="G1350" s="3" t="str">
        <f>CLEAN("REAL ESTATE ACQUISITION")</f>
        <v>REAL ESTATE ACQUISITION</v>
      </c>
      <c r="H1350" s="2" t="str">
        <f>CLEAN("STH 013")</f>
        <v>STH 013</v>
      </c>
      <c r="I1350" s="2" t="str">
        <f t="shared" si="219"/>
        <v>303</v>
      </c>
    </row>
    <row r="1351" spans="1:9" x14ac:dyDescent="0.35">
      <c r="A1351" s="2" t="str">
        <f>CLEAN("BAYFIELD")</f>
        <v>BAYFIELD</v>
      </c>
      <c r="B1351" s="2" t="str">
        <f>CLEAN("CITY OF WASHBURN")</f>
        <v>CITY OF WASHBURN</v>
      </c>
      <c r="C1351" s="2" t="s">
        <v>3170</v>
      </c>
      <c r="D1351" s="2" t="str">
        <f>CLEAN("8160-00-26")</f>
        <v>8160-00-26</v>
      </c>
      <c r="E1351" s="3" t="str">
        <f>CLEAN("C WASHBURN  BAYFIELD STREET")</f>
        <v>C WASHBURN  BAYFIELD STREET</v>
      </c>
      <c r="F1351" s="3" t="str">
        <f>CLEAN("WASHINGTON AVE TO SUPERIOR AVE")</f>
        <v>WASHINGTON AVE TO SUPERIOR AVE</v>
      </c>
      <c r="G1351" s="3" t="str">
        <f>CLEAN("REAL ESTATE ACQUISITION/8160-00-76")</f>
        <v>REAL ESTATE ACQUISITION/8160-00-76</v>
      </c>
      <c r="H1351" s="2" t="str">
        <f>CLEAN("STH 013")</f>
        <v>STH 013</v>
      </c>
      <c r="I1351" s="2" t="str">
        <f t="shared" si="219"/>
        <v>303</v>
      </c>
    </row>
    <row r="1352" spans="1:9" x14ac:dyDescent="0.35">
      <c r="A1352" s="2" t="str">
        <f>CLEAN("BAYFIELD")</f>
        <v>BAYFIELD</v>
      </c>
      <c r="B1352" s="2" t="str">
        <f>CLEAN("CITY OF WASHBURN")</f>
        <v>CITY OF WASHBURN</v>
      </c>
      <c r="C1352" s="2" t="s">
        <v>1297</v>
      </c>
      <c r="D1352" s="2" t="str">
        <f>CLEAN("8160-00-76")</f>
        <v>8160-00-76</v>
      </c>
      <c r="E1352" s="3" t="str">
        <f>CLEAN("C WASHBURN  BAYFIELD STREET")</f>
        <v>C WASHBURN  BAYFIELD STREET</v>
      </c>
      <c r="F1352" s="3" t="str">
        <f>CLEAN("WASHINGTON AVE TO SUPERIOR AVE")</f>
        <v>WASHINGTON AVE TO SUPERIOR AVE</v>
      </c>
      <c r="G1352" s="3" t="str">
        <f>CLEAN("CONSTRUCTION/PAVEMENT REPLACEMENT")</f>
        <v>CONSTRUCTION/PAVEMENT REPLACEMENT</v>
      </c>
      <c r="H1352" s="2" t="str">
        <f>CLEAN("STH 013")</f>
        <v>STH 013</v>
      </c>
      <c r="I1352" s="2" t="str">
        <f t="shared" si="219"/>
        <v>303</v>
      </c>
    </row>
    <row r="1353" spans="1:9" x14ac:dyDescent="0.35">
      <c r="A1353" s="2" t="str">
        <f t="shared" ref="A1353:A1365" si="220">CLEAN("JEFFERSON")</f>
        <v>JEFFERSON</v>
      </c>
      <c r="B1353" s="2" t="str">
        <f>CLEAN("CITY OF WATERLOO")</f>
        <v>CITY OF WATERLOO</v>
      </c>
      <c r="C1353" s="2" t="s">
        <v>2338</v>
      </c>
      <c r="D1353" s="2" t="str">
        <f>CLEAN("3050-06-20")</f>
        <v>3050-06-20</v>
      </c>
      <c r="E1353" s="3" t="str">
        <f>CLEAN("SUN PRAIRIE - WATERTOWN")</f>
        <v>SUN PRAIRIE - WATERTOWN</v>
      </c>
      <c r="F1353" s="3" t="str">
        <f>CLEAN("STH 89 TO INDUSTRIAL LANE")</f>
        <v>STH 89 TO INDUSTRIAL LANE</v>
      </c>
      <c r="G1353" s="3" t="str">
        <f>CLEAN("DESIGN-RIGHT OF WAY-PVRPLA")</f>
        <v>DESIGN-RIGHT OF WAY-PVRPLA</v>
      </c>
      <c r="H1353" s="2" t="str">
        <f>CLEAN("STH 019")</f>
        <v>STH 019</v>
      </c>
      <c r="I1353" s="2" t="str">
        <f t="shared" si="219"/>
        <v>303</v>
      </c>
    </row>
    <row r="1354" spans="1:9" x14ac:dyDescent="0.35">
      <c r="A1354" s="2" t="str">
        <f t="shared" si="220"/>
        <v>JEFFERSON</v>
      </c>
      <c r="B1354" s="2" t="str">
        <f t="shared" ref="B1354:B1374" si="221">CLEAN("CITY OF WATERTOWN")</f>
        <v>CITY OF WATERTOWN</v>
      </c>
      <c r="C1354" s="2" t="s">
        <v>2301</v>
      </c>
      <c r="D1354" s="2" t="str">
        <f>CLEAN("3050-01-08")</f>
        <v>3050-01-08</v>
      </c>
      <c r="E1354" s="3" t="str">
        <f>CLEAN("C WATERTOWN  MAIN STREET")</f>
        <v>C WATERTOWN  MAIN STREET</v>
      </c>
      <c r="F1354" s="3" t="str">
        <f>CLEAN("CHURCH STREET TO MARKET STREET")</f>
        <v>CHURCH STREET TO MARKET STREET</v>
      </c>
      <c r="G1354" s="3" t="str">
        <f>CLEAN("DESIGN-FULL PS&amp;E PVRPLA")</f>
        <v>DESIGN-FULL PS&amp;E PVRPLA</v>
      </c>
      <c r="H1354" s="2" t="str">
        <f>CLEAN("STH 019")</f>
        <v>STH 019</v>
      </c>
      <c r="I1354" s="2" t="str">
        <f t="shared" si="219"/>
        <v>303</v>
      </c>
    </row>
    <row r="1355" spans="1:9" x14ac:dyDescent="0.35">
      <c r="A1355" s="2" t="str">
        <f t="shared" si="220"/>
        <v>JEFFERSON</v>
      </c>
      <c r="B1355" s="2" t="str">
        <f t="shared" si="221"/>
        <v>CITY OF WATERTOWN</v>
      </c>
      <c r="C1355" s="2" t="s">
        <v>2264</v>
      </c>
      <c r="D1355" s="2" t="str">
        <f>CLEAN("3050-04-01")</f>
        <v>3050-04-01</v>
      </c>
      <c r="E1355" s="3" t="str">
        <f>CLEAN("C WATERTOWN  MAIN STREET")</f>
        <v>C WATERTOWN  MAIN STREET</v>
      </c>
      <c r="F1355" s="3" t="str">
        <f>CLEAN("ROCK RIVER STRUCTURE B-28-0906")</f>
        <v>ROCK RIVER STRUCTURE B-28-0906</v>
      </c>
      <c r="G1355" s="3" t="str">
        <f>CLEAN("DESIGN/REPLACE STRUCTURE")</f>
        <v>DESIGN/REPLACE STRUCTURE</v>
      </c>
      <c r="H1355" s="2" t="str">
        <f>CLEAN("STH 019")</f>
        <v>STH 019</v>
      </c>
      <c r="I1355" s="2" t="str">
        <f t="shared" si="219"/>
        <v>303</v>
      </c>
    </row>
    <row r="1356" spans="1:9" x14ac:dyDescent="0.35">
      <c r="A1356" s="2" t="str">
        <f t="shared" si="220"/>
        <v>JEFFERSON</v>
      </c>
      <c r="B1356" s="2" t="str">
        <f t="shared" si="221"/>
        <v>CITY OF WATERTOWN</v>
      </c>
      <c r="C1356" s="2" t="s">
        <v>2296</v>
      </c>
      <c r="D1356" s="2" t="str">
        <f>CLEAN("3050-04-03")</f>
        <v>3050-04-03</v>
      </c>
      <c r="E1356" s="3" t="str">
        <f>CLEAN("C WATERTOWN  MAIN STREET")</f>
        <v>C WATERTOWN  MAIN STREET</v>
      </c>
      <c r="F1356" s="3" t="str">
        <f>CLEAN("0.03 E OF WELSH RD TO CHURCH STREET")</f>
        <v>0.03 E OF WELSH RD TO CHURCH STREET</v>
      </c>
      <c r="G1356" s="3" t="str">
        <f>CLEAN("DESIGN-FULL PS&amp;E PVRPLA")</f>
        <v>DESIGN-FULL PS&amp;E PVRPLA</v>
      </c>
      <c r="H1356" s="2" t="str">
        <f>CLEAN("STH 019")</f>
        <v>STH 019</v>
      </c>
      <c r="I1356" s="2" t="str">
        <f t="shared" si="219"/>
        <v>303</v>
      </c>
    </row>
    <row r="1357" spans="1:9" x14ac:dyDescent="0.35">
      <c r="A1357" s="2" t="str">
        <f t="shared" si="220"/>
        <v>JEFFERSON</v>
      </c>
      <c r="B1357" s="2" t="str">
        <f t="shared" si="221"/>
        <v>CITY OF WATERTOWN</v>
      </c>
      <c r="C1357" s="2" t="s">
        <v>2187</v>
      </c>
      <c r="D1357" s="2" t="str">
        <f>CLEAN("3997-01-09")</f>
        <v>3997-01-09</v>
      </c>
      <c r="E1357" s="3" t="str">
        <f>CLEAN("CITY OF WATERTOWN  DEWEY AVENUE")</f>
        <v>CITY OF WATERTOWN  DEWEY AVENUE</v>
      </c>
      <c r="F1357" s="3" t="str">
        <f>CLEAN("E MAIN STREET TO E DIVISON STREET")</f>
        <v>E MAIN STREET TO E DIVISON STREET</v>
      </c>
      <c r="G1357" s="3" t="str">
        <f>CLEAN("DESIGN/PLAN CHECK REVIEW/RECST")</f>
        <v>DESIGN/PLAN CHECK REVIEW/RECST</v>
      </c>
      <c r="H1357" s="2" t="str">
        <f>CLEAN("LOC STR")</f>
        <v>LOC STR</v>
      </c>
      <c r="I1357" s="2" t="str">
        <f>CLEAN("206")</f>
        <v>206</v>
      </c>
    </row>
    <row r="1358" spans="1:9" x14ac:dyDescent="0.35">
      <c r="A1358" s="2" t="str">
        <f t="shared" si="220"/>
        <v>JEFFERSON</v>
      </c>
      <c r="B1358" s="2" t="str">
        <f t="shared" si="221"/>
        <v>CITY OF WATERTOWN</v>
      </c>
      <c r="C1358" s="2" t="s">
        <v>2056</v>
      </c>
      <c r="D1358" s="2" t="str">
        <f>CLEAN("3997-03-04")</f>
        <v>3997-03-04</v>
      </c>
      <c r="E1358" s="3" t="str">
        <f>CLEAN("C WATERTOWN  SHARED USE PATH")</f>
        <v>C WATERTOWN  SHARED USE PATH</v>
      </c>
      <c r="F1358" s="3" t="str">
        <f>CLEAN("JEFFERSON RD TO AIR PARK DR")</f>
        <v>JEFFERSON RD TO AIR PARK DR</v>
      </c>
      <c r="G1358" s="3" t="str">
        <f>CLEAN("DESIGN/PLAN CHECK REVIEW")</f>
        <v>DESIGN/PLAN CHECK REVIEW</v>
      </c>
      <c r="H1358" s="2" t="str">
        <f>CLEAN("NON HWY")</f>
        <v>NON HWY</v>
      </c>
      <c r="I1358" s="2" t="str">
        <f>CLEAN("290")</f>
        <v>290</v>
      </c>
    </row>
    <row r="1359" spans="1:9" x14ac:dyDescent="0.35">
      <c r="A1359" s="2" t="str">
        <f t="shared" si="220"/>
        <v>JEFFERSON</v>
      </c>
      <c r="B1359" s="2" t="str">
        <f t="shared" si="221"/>
        <v>CITY OF WATERTOWN</v>
      </c>
      <c r="C1359" s="2" t="s">
        <v>13</v>
      </c>
      <c r="D1359" s="2" t="str">
        <f>CLEAN("1009-22-06")</f>
        <v>1009-22-06</v>
      </c>
      <c r="E1359" s="3" t="str">
        <f>CLEAN("Watertown Bike Ped Network Plan")</f>
        <v>Watertown Bike Ped Network Plan</v>
      </c>
      <c r="F1359" s="3" t="str">
        <f>CLEAN("CITY OF WATERTOWN")</f>
        <v>CITY OF WATERTOWN</v>
      </c>
      <c r="G1359" s="3" t="str">
        <f>CLEAN("BIKE PED PLANNING")</f>
        <v>BIKE PED PLANNING</v>
      </c>
      <c r="H1359" s="2" t="str">
        <f>CLEAN("NON HWY")</f>
        <v>NON HWY</v>
      </c>
      <c r="I1359" s="2" t="str">
        <f>CLEAN("290")</f>
        <v>290</v>
      </c>
    </row>
    <row r="1360" spans="1:9" x14ac:dyDescent="0.35">
      <c r="A1360" s="2" t="str">
        <f t="shared" si="220"/>
        <v>JEFFERSON</v>
      </c>
      <c r="B1360" s="2" t="str">
        <f t="shared" si="221"/>
        <v>CITY OF WATERTOWN</v>
      </c>
      <c r="C1360" s="2" t="s">
        <v>11</v>
      </c>
      <c r="D1360" s="2" t="str">
        <f>CLEAN("1009-22-08")</f>
        <v>1009-22-08</v>
      </c>
      <c r="E1360" s="3" t="str">
        <f>CLEAN("CITY OF WATERTOWN")</f>
        <v>CITY OF WATERTOWN</v>
      </c>
      <c r="F1360" s="3" t="str">
        <f>CLEAN("TIVOLI ISLAND HISTORIC BRIDGE AREA")</f>
        <v>TIVOLI ISLAND HISTORIC BRIDGE AREA</v>
      </c>
      <c r="G1360" s="3" t="str">
        <f>CLEAN("BIKE PED BRIDGE ASSESSMENT STUDY")</f>
        <v>BIKE PED BRIDGE ASSESSMENT STUDY</v>
      </c>
      <c r="H1360" s="2" t="str">
        <f>CLEAN("NON HWY")</f>
        <v>NON HWY</v>
      </c>
      <c r="I1360" s="2" t="str">
        <f>CLEAN("290")</f>
        <v>290</v>
      </c>
    </row>
    <row r="1361" spans="1:9" x14ac:dyDescent="0.35">
      <c r="A1361" s="2" t="str">
        <f t="shared" si="220"/>
        <v>JEFFERSON</v>
      </c>
      <c r="B1361" s="2" t="str">
        <f t="shared" si="221"/>
        <v>CITY OF WATERTOWN</v>
      </c>
      <c r="C1361" s="2" t="s">
        <v>1097</v>
      </c>
      <c r="D1361" s="2" t="str">
        <f>CLEAN("1370-00-77")</f>
        <v>1370-00-77</v>
      </c>
      <c r="E1361" s="3" t="str">
        <f>CLEAN("WATERTOWN - WAUKESHA")</f>
        <v>WATERTOWN - WAUKESHA</v>
      </c>
      <c r="F1361" s="3" t="str">
        <f>CLEAN("MAIN ST/OAK HILL RD INTERSECTION")</f>
        <v>MAIN ST/OAK HILL RD INTERSECTION</v>
      </c>
      <c r="G1361" s="3" t="str">
        <f>CLEAN("CONST/WATER MAIN &amp; CASING PIPE")</f>
        <v>CONST/WATER MAIN &amp; CASING PIPE</v>
      </c>
      <c r="H1361" s="2" t="str">
        <f>CLEAN("STH 016")</f>
        <v>STH 016</v>
      </c>
      <c r="I1361" s="2" t="str">
        <f>CLEAN("303")</f>
        <v>303</v>
      </c>
    </row>
    <row r="1362" spans="1:9" x14ac:dyDescent="0.35">
      <c r="A1362" s="2" t="str">
        <f t="shared" si="220"/>
        <v>JEFFERSON</v>
      </c>
      <c r="B1362" s="2" t="str">
        <f t="shared" si="221"/>
        <v>CITY OF WATERTOWN</v>
      </c>
      <c r="C1362" s="2" t="s">
        <v>2311</v>
      </c>
      <c r="D1362" s="2" t="str">
        <f>CLEAN("3050-04-00")</f>
        <v>3050-04-00</v>
      </c>
      <c r="E1362" s="3" t="str">
        <f>CLEAN("C WATERTOWN  MAIN STREET")</f>
        <v>C WATERTOWN  MAIN STREET</v>
      </c>
      <c r="F1362" s="3" t="str">
        <f>CLEAN("MARKET STREET TO IRENE STREET")</f>
        <v>MARKET STREET TO IRENE STREET</v>
      </c>
      <c r="G1362" s="3" t="str">
        <f>CLEAN("DESIGN-FULL PS&amp;E RECST")</f>
        <v>DESIGN-FULL PS&amp;E RECST</v>
      </c>
      <c r="H1362" s="2" t="str">
        <f>CLEAN("STH 019")</f>
        <v>STH 019</v>
      </c>
      <c r="I1362" s="2" t="str">
        <f>CLEAN("303")</f>
        <v>303</v>
      </c>
    </row>
    <row r="1363" spans="1:9" x14ac:dyDescent="0.35">
      <c r="A1363" s="2" t="str">
        <f t="shared" si="220"/>
        <v>JEFFERSON</v>
      </c>
      <c r="B1363" s="2" t="str">
        <f t="shared" si="221"/>
        <v>CITY OF WATERTOWN</v>
      </c>
      <c r="C1363" s="2" t="s">
        <v>874</v>
      </c>
      <c r="D1363" s="2" t="str">
        <f>CLEAN("3050-04-81")</f>
        <v>3050-04-81</v>
      </c>
      <c r="E1363" s="3" t="str">
        <f>CLEAN("C WATERTOWN  MAIN STREET")</f>
        <v>C WATERTOWN  MAIN STREET</v>
      </c>
      <c r="F1363" s="3" t="str">
        <f>CLEAN("ROCK RIVER STRUCTURE B-28-193")</f>
        <v>ROCK RIVER STRUCTURE B-28-193</v>
      </c>
      <c r="G1363" s="3" t="str">
        <f>CLEAN("CONST/REPLACE STRUCTURE")</f>
        <v>CONST/REPLACE STRUCTURE</v>
      </c>
      <c r="H1363" s="2" t="str">
        <f>CLEAN("STH 019")</f>
        <v>STH 019</v>
      </c>
      <c r="I1363" s="2" t="str">
        <f>CLEAN("303")</f>
        <v>303</v>
      </c>
    </row>
    <row r="1364" spans="1:9" x14ac:dyDescent="0.35">
      <c r="A1364" s="2" t="str">
        <f t="shared" si="220"/>
        <v>JEFFERSON</v>
      </c>
      <c r="B1364" s="2" t="str">
        <f t="shared" si="221"/>
        <v>CITY OF WATERTOWN</v>
      </c>
      <c r="C1364" s="2" t="s">
        <v>1059</v>
      </c>
      <c r="D1364" s="2" t="str">
        <f>CLEAN("3050-04-82")</f>
        <v>3050-04-82</v>
      </c>
      <c r="E1364" s="3" t="str">
        <f>CLEAN("C WATERTOWN  MAIN STREET")</f>
        <v>C WATERTOWN  MAIN STREET</v>
      </c>
      <c r="F1364" s="3" t="str">
        <f>CLEAN("ROCK RIVER STRUCTURE B-28-193")</f>
        <v>ROCK RIVER STRUCTURE B-28-193</v>
      </c>
      <c r="G1364" s="3" t="str">
        <f>CLEAN("CONST/STRUCTURE WORK")</f>
        <v>CONST/STRUCTURE WORK</v>
      </c>
      <c r="H1364" s="2" t="str">
        <f>CLEAN("STH 019")</f>
        <v>STH 019</v>
      </c>
      <c r="I1364" s="2" t="str">
        <f>CLEAN("205")</f>
        <v>205</v>
      </c>
    </row>
    <row r="1365" spans="1:9" x14ac:dyDescent="0.35">
      <c r="A1365" s="2" t="str">
        <f t="shared" si="220"/>
        <v>JEFFERSON</v>
      </c>
      <c r="B1365" s="2" t="str">
        <f t="shared" si="221"/>
        <v>CITY OF WATERTOWN</v>
      </c>
      <c r="C1365" s="2" t="s">
        <v>3407</v>
      </c>
      <c r="D1365" s="2" t="str">
        <f>CLEAN("3700-10-90")</f>
        <v>3700-10-90</v>
      </c>
      <c r="E1365" s="3" t="str">
        <f>CLEAN("CITY OF WATERTOWN")</f>
        <v>CITY OF WATERTOWN</v>
      </c>
      <c r="F1365" s="3" t="str">
        <f>CLEAN("MAIN ST AT CHURCH  1ST &amp; 4TH STS")</f>
        <v>MAIN ST AT CHURCH  1ST &amp; 4TH STS</v>
      </c>
      <c r="G1365" s="3" t="str">
        <f>CLEAN("TRF/SIGNAL REHAB FY24 /TOSIG")</f>
        <v>TRF/SIGNAL REHAB FY24 /TOSIG</v>
      </c>
      <c r="H1365" s="2" t="str">
        <f>CLEAN("STH 019")</f>
        <v>STH 019</v>
      </c>
      <c r="I1365" s="2" t="str">
        <f>CLEAN("305")</f>
        <v>305</v>
      </c>
    </row>
    <row r="1366" spans="1:9" x14ac:dyDescent="0.35">
      <c r="A1366" s="2" t="str">
        <f>CLEAN("DODGE")</f>
        <v>DODGE</v>
      </c>
      <c r="B1366" s="2" t="str">
        <f t="shared" si="221"/>
        <v>CITY OF WATERTOWN</v>
      </c>
      <c r="C1366" s="2" t="s">
        <v>2233</v>
      </c>
      <c r="D1366" s="2" t="str">
        <f>CLEAN("3997-00-08")</f>
        <v>3997-00-08</v>
      </c>
      <c r="E1366" s="3" t="str">
        <f>CLEAN("C OF WATERTOWN  N. FOURTH STREET")</f>
        <v>C OF WATERTOWN  N. FOURTH STREET</v>
      </c>
      <c r="F1366" s="3" t="str">
        <f>CLEAN("JONES STREET TO CENTER STREET")</f>
        <v>JONES STREET TO CENTER STREET</v>
      </c>
      <c r="G1366" s="3" t="str">
        <f>CLEAN("DESIGN/PLAN CHECK REVIEW/RESURFACE")</f>
        <v>DESIGN/PLAN CHECK REVIEW/RESURFACE</v>
      </c>
      <c r="H1366" s="2" t="str">
        <f t="shared" ref="H1366:H1375" si="222">CLEAN("LOC STR")</f>
        <v>LOC STR</v>
      </c>
      <c r="I1366" s="2" t="str">
        <f t="shared" ref="I1366:I1375" si="223">CLEAN("206")</f>
        <v>206</v>
      </c>
    </row>
    <row r="1367" spans="1:9" x14ac:dyDescent="0.35">
      <c r="A1367" s="2" t="str">
        <f>CLEAN("JEFFERSON")</f>
        <v>JEFFERSON</v>
      </c>
      <c r="B1367" s="2" t="str">
        <f t="shared" si="221"/>
        <v>CITY OF WATERTOWN</v>
      </c>
      <c r="C1367" s="2" t="s">
        <v>2203</v>
      </c>
      <c r="D1367" s="2" t="str">
        <f>CLEAN("3997-00-12")</f>
        <v>3997-00-12</v>
      </c>
      <c r="E1367" s="3" t="str">
        <f>CLEAN("C WATERTOWN  WESTERN AVENUE")</f>
        <v>C WATERTOWN  WESTERN AVENUE</v>
      </c>
      <c r="F1367" s="3" t="str">
        <f>CLEAN("MILWAUKEE ST. TO S. THIRD ST.")</f>
        <v>MILWAUKEE ST. TO S. THIRD ST.</v>
      </c>
      <c r="G1367" s="3" t="str">
        <f>CLEAN("DESIGN/PLAN CHECK REVIEW/RECST")</f>
        <v>DESIGN/PLAN CHECK REVIEW/RECST</v>
      </c>
      <c r="H1367" s="2" t="str">
        <f t="shared" si="222"/>
        <v>LOC STR</v>
      </c>
      <c r="I1367" s="2" t="str">
        <f t="shared" si="223"/>
        <v>206</v>
      </c>
    </row>
    <row r="1368" spans="1:9" x14ac:dyDescent="0.35">
      <c r="A1368" s="2" t="str">
        <f>CLEAN("JEFFERSON")</f>
        <v>JEFFERSON</v>
      </c>
      <c r="B1368" s="2" t="str">
        <f t="shared" si="221"/>
        <v>CITY OF WATERTOWN</v>
      </c>
      <c r="C1368" s="2" t="s">
        <v>251</v>
      </c>
      <c r="D1368" s="2" t="str">
        <f>CLEAN("3997-00-13")</f>
        <v>3997-00-13</v>
      </c>
      <c r="E1368" s="3" t="str">
        <f>CLEAN("C WATERTOWN  WESTERN AVENUE")</f>
        <v>C WATERTOWN  WESTERN AVENUE</v>
      </c>
      <c r="F1368" s="3" t="str">
        <f>CLEAN("MILWAUKEE ST. TO S. THIRD ST.")</f>
        <v>MILWAUKEE ST. TO S. THIRD ST.</v>
      </c>
      <c r="G1368" s="3" t="str">
        <f>CLEAN("CONST OPS/RECONSTRUCTION")</f>
        <v>CONST OPS/RECONSTRUCTION</v>
      </c>
      <c r="H1368" s="2" t="str">
        <f t="shared" si="222"/>
        <v>LOC STR</v>
      </c>
      <c r="I1368" s="2" t="str">
        <f t="shared" si="223"/>
        <v>206</v>
      </c>
    </row>
    <row r="1369" spans="1:9" x14ac:dyDescent="0.35">
      <c r="A1369" s="2" t="str">
        <f>CLEAN("JEFFERSON")</f>
        <v>JEFFERSON</v>
      </c>
      <c r="B1369" s="2" t="str">
        <f t="shared" si="221"/>
        <v>CITY OF WATERTOWN</v>
      </c>
      <c r="C1369" s="2" t="s">
        <v>3424</v>
      </c>
      <c r="D1369" s="2" t="str">
        <f>CLEAN("3997-00-14")</f>
        <v>3997-00-14</v>
      </c>
      <c r="E1369" s="3" t="str">
        <f>CLEAN("C WATERTOWN  WESTERN AVENUE")</f>
        <v>C WATERTOWN  WESTERN AVENUE</v>
      </c>
      <c r="F1369" s="3" t="str">
        <f>CLEAN("MILWAUKEE ST. TO S. THIRD ST.")</f>
        <v>MILWAUKEE ST. TO S. THIRD ST.</v>
      </c>
      <c r="G1369" s="3" t="str">
        <f>CLEAN("UTL OPS/WATER MAIN SANITARY SEWER")</f>
        <v>UTL OPS/WATER MAIN SANITARY SEWER</v>
      </c>
      <c r="H1369" s="2" t="str">
        <f t="shared" si="222"/>
        <v>LOC STR</v>
      </c>
      <c r="I1369" s="2" t="str">
        <f t="shared" si="223"/>
        <v>206</v>
      </c>
    </row>
    <row r="1370" spans="1:9" x14ac:dyDescent="0.35">
      <c r="A1370" s="2" t="str">
        <f>CLEAN("DODGE")</f>
        <v>DODGE</v>
      </c>
      <c r="B1370" s="2" t="str">
        <f t="shared" si="221"/>
        <v>CITY OF WATERTOWN</v>
      </c>
      <c r="C1370" s="2" t="s">
        <v>2174</v>
      </c>
      <c r="D1370" s="2" t="str">
        <f>CLEAN("3997-00-15")</f>
        <v>3997-00-15</v>
      </c>
      <c r="E1370" s="3" t="str">
        <f>CLEAN("C WATERTOWN  LABAREE STREET")</f>
        <v>C WATERTOWN  LABAREE STREET</v>
      </c>
      <c r="F1370" s="3" t="str">
        <f>CLEAN("BOUGHTON STREET TO ANNE STREET")</f>
        <v>BOUGHTON STREET TO ANNE STREET</v>
      </c>
      <c r="G1370" s="3" t="str">
        <f>CLEAN("DESIGN/PLAN CHECK REVIEW/RECST")</f>
        <v>DESIGN/PLAN CHECK REVIEW/RECST</v>
      </c>
      <c r="H1370" s="2" t="str">
        <f t="shared" si="222"/>
        <v>LOC STR</v>
      </c>
      <c r="I1370" s="2" t="str">
        <f t="shared" si="223"/>
        <v>206</v>
      </c>
    </row>
    <row r="1371" spans="1:9" x14ac:dyDescent="0.35">
      <c r="A1371" s="2" t="str">
        <f>CLEAN("DODGE")</f>
        <v>DODGE</v>
      </c>
      <c r="B1371" s="2" t="str">
        <f t="shared" si="221"/>
        <v>CITY OF WATERTOWN</v>
      </c>
      <c r="C1371" s="2" t="s">
        <v>1493</v>
      </c>
      <c r="D1371" s="2" t="str">
        <f>CLEAN("3997-00-30")</f>
        <v>3997-00-30</v>
      </c>
      <c r="E1371" s="3" t="str">
        <f>CLEAN("C WATERTOWN  WELSH ROAD")</f>
        <v>C WATERTOWN  WELSH ROAD</v>
      </c>
      <c r="F1371" s="3" t="str">
        <f>CLEAN("STH 26 OVERPASS")</f>
        <v>STH 26 OVERPASS</v>
      </c>
      <c r="G1371" s="3" t="str">
        <f>CLEAN("DESIGN - FULL PS&amp;E MISC")</f>
        <v>DESIGN - FULL PS&amp;E MISC</v>
      </c>
      <c r="H1371" s="2" t="str">
        <f t="shared" si="222"/>
        <v>LOC STR</v>
      </c>
      <c r="I1371" s="2" t="str">
        <f t="shared" si="223"/>
        <v>206</v>
      </c>
    </row>
    <row r="1372" spans="1:9" x14ac:dyDescent="0.35">
      <c r="A1372" s="2" t="str">
        <f>CLEAN("DODGE")</f>
        <v>DODGE</v>
      </c>
      <c r="B1372" s="2" t="str">
        <f t="shared" si="221"/>
        <v>CITY OF WATERTOWN</v>
      </c>
      <c r="C1372" s="2" t="s">
        <v>205</v>
      </c>
      <c r="D1372" s="2" t="str">
        <f>CLEAN("3997-00-78")</f>
        <v>3997-00-78</v>
      </c>
      <c r="E1372" s="3" t="str">
        <f>CLEAN("C OF WATERTOWN  N. FOURTH STREET")</f>
        <v>C OF WATERTOWN  N. FOURTH STREET</v>
      </c>
      <c r="F1372" s="3" t="str">
        <f>CLEAN("JONES STREET TO CENTER STREET")</f>
        <v>JONES STREET TO CENTER STREET</v>
      </c>
      <c r="G1372" s="3" t="str">
        <f>CLEAN("CONST OPS/PAVEMENT RESURFACE")</f>
        <v>CONST OPS/PAVEMENT RESURFACE</v>
      </c>
      <c r="H1372" s="2" t="str">
        <f t="shared" si="222"/>
        <v>LOC STR</v>
      </c>
      <c r="I1372" s="2" t="str">
        <f t="shared" si="223"/>
        <v>206</v>
      </c>
    </row>
    <row r="1373" spans="1:9" x14ac:dyDescent="0.35">
      <c r="A1373" s="2" t="str">
        <f>CLEAN("JEFFERSON")</f>
        <v>JEFFERSON</v>
      </c>
      <c r="B1373" s="2" t="str">
        <f t="shared" si="221"/>
        <v>CITY OF WATERTOWN</v>
      </c>
      <c r="C1373" s="2" t="s">
        <v>267</v>
      </c>
      <c r="D1373" s="2" t="str">
        <f>CLEAN("3997-01-79")</f>
        <v>3997-01-79</v>
      </c>
      <c r="E1373" s="3" t="str">
        <f>CLEAN("CITY OF WATERTOWN  DEWEY AVENUE")</f>
        <v>CITY OF WATERTOWN  DEWEY AVENUE</v>
      </c>
      <c r="F1373" s="3" t="str">
        <f>CLEAN("E MAIN STREET TO E DIVISON STREET")</f>
        <v>E MAIN STREET TO E DIVISON STREET</v>
      </c>
      <c r="G1373" s="3" t="str">
        <f>CLEAN("CONST OPS/RECONTRUCTION")</f>
        <v>CONST OPS/RECONTRUCTION</v>
      </c>
      <c r="H1373" s="2" t="str">
        <f t="shared" si="222"/>
        <v>LOC STR</v>
      </c>
      <c r="I1373" s="2" t="str">
        <f t="shared" si="223"/>
        <v>206</v>
      </c>
    </row>
    <row r="1374" spans="1:9" x14ac:dyDescent="0.35">
      <c r="A1374" s="2" t="str">
        <f>CLEAN("JEFFERSON")</f>
        <v>JEFFERSON</v>
      </c>
      <c r="B1374" s="2" t="str">
        <f t="shared" si="221"/>
        <v>CITY OF WATERTOWN</v>
      </c>
      <c r="C1374" s="2" t="s">
        <v>3422</v>
      </c>
      <c r="D1374" s="2" t="str">
        <f>CLEAN("3997-01-80")</f>
        <v>3997-01-80</v>
      </c>
      <c r="E1374" s="3" t="str">
        <f>CLEAN("CITY OF WATERTOWN  DEWEY AVENUE")</f>
        <v>CITY OF WATERTOWN  DEWEY AVENUE</v>
      </c>
      <c r="F1374" s="3" t="str">
        <f>CLEAN("E MAIN STREET TO E DIVISON STREET")</f>
        <v>E MAIN STREET TO E DIVISON STREET</v>
      </c>
      <c r="G1374" s="3" t="str">
        <f>CLEAN("UTL OPS/WATER MAIN")</f>
        <v>UTL OPS/WATER MAIN</v>
      </c>
      <c r="H1374" s="2" t="str">
        <f t="shared" si="222"/>
        <v>LOC STR</v>
      </c>
      <c r="I1374" s="2" t="str">
        <f t="shared" si="223"/>
        <v>206</v>
      </c>
    </row>
    <row r="1375" spans="1:9" x14ac:dyDescent="0.35">
      <c r="A1375" s="2" t="str">
        <f>CLEAN("WAUKESHA")</f>
        <v>WAUKESHA</v>
      </c>
      <c r="B1375" s="2" t="str">
        <f t="shared" ref="B1375:B1395" si="224">CLEAN("CITY OF WAUKESHA")</f>
        <v>CITY OF WAUKESHA</v>
      </c>
      <c r="C1375" s="2" t="s">
        <v>2940</v>
      </c>
      <c r="D1375" s="2" t="str">
        <f>CLEAN("2718-04-01")</f>
        <v>2718-04-01</v>
      </c>
      <c r="E1375" s="3" t="str">
        <f>CLEAN("W ST PAUL AVENUE")</f>
        <v>W ST PAUL AVENUE</v>
      </c>
      <c r="F1375" s="3" t="str">
        <f>CLEAN("MOUNTAIN AVE TO MADISON ST")</f>
        <v>MOUNTAIN AVE TO MADISON ST</v>
      </c>
      <c r="G1375" s="3" t="str">
        <f>CLEAN("PE/RECONST NO ADDED CAPACITY")</f>
        <v>PE/RECONST NO ADDED CAPACITY</v>
      </c>
      <c r="H1375" s="2" t="str">
        <f t="shared" si="222"/>
        <v>LOC STR</v>
      </c>
      <c r="I1375" s="2" t="str">
        <f t="shared" si="223"/>
        <v>206</v>
      </c>
    </row>
    <row r="1376" spans="1:9" x14ac:dyDescent="0.35">
      <c r="A1376" s="2" t="str">
        <f>CLEAN("WAUKESHA")</f>
        <v>WAUKESHA</v>
      </c>
      <c r="B1376" s="2" t="str">
        <f t="shared" si="224"/>
        <v>CITY OF WAUKESHA</v>
      </c>
      <c r="C1376" s="2" t="s">
        <v>3018</v>
      </c>
      <c r="D1376" s="2" t="str">
        <f>CLEAN("2718-08-01")</f>
        <v>2718-08-01</v>
      </c>
      <c r="E1376" s="3" t="str">
        <f>CLEAN("CENTRACS TRAFFIC MANAGEMENT SYSTEM")</f>
        <v>CENTRACS TRAFFIC MANAGEMENT SYSTEM</v>
      </c>
      <c r="F1376" s="3" t="str">
        <f>CLEAN("CITY OF WAUKESHA")</f>
        <v>CITY OF WAUKESHA</v>
      </c>
      <c r="G1376" s="3" t="str">
        <f>CLEAN("PE/TRAFFIC MANAGEMENT")</f>
        <v>PE/TRAFFIC MANAGEMENT</v>
      </c>
      <c r="H1376" s="2" t="str">
        <f>CLEAN("NON HWY")</f>
        <v>NON HWY</v>
      </c>
      <c r="I1376" s="2" t="str">
        <f>CLEAN("211")</f>
        <v>211</v>
      </c>
    </row>
    <row r="1377" spans="1:9" x14ac:dyDescent="0.35">
      <c r="A1377" s="2" t="str">
        <f>CLEAN("WAUKESHA")</f>
        <v>WAUKESHA</v>
      </c>
      <c r="B1377" s="2" t="str">
        <f t="shared" si="224"/>
        <v>CITY OF WAUKESHA</v>
      </c>
      <c r="C1377" s="2" t="s">
        <v>2969</v>
      </c>
      <c r="D1377" s="2" t="str">
        <f>CLEAN("2718-08-02")</f>
        <v>2718-08-02</v>
      </c>
      <c r="E1377" s="3" t="str">
        <f>CLEAN("FIBER AND RADIO INTERCONNECT")</f>
        <v>FIBER AND RADIO INTERCONNECT</v>
      </c>
      <c r="F1377" s="3" t="str">
        <f>CLEAN("CITY OF WAUKESHA")</f>
        <v>CITY OF WAUKESHA</v>
      </c>
      <c r="G1377" s="3" t="str">
        <f>CLEAN("PE/SIGNAL INTERCONNECT")</f>
        <v>PE/SIGNAL INTERCONNECT</v>
      </c>
      <c r="H1377" s="2" t="str">
        <f>CLEAN("NON HWY")</f>
        <v>NON HWY</v>
      </c>
      <c r="I1377" s="2" t="str">
        <f>CLEAN("211")</f>
        <v>211</v>
      </c>
    </row>
    <row r="1378" spans="1:9" x14ac:dyDescent="0.35">
      <c r="A1378" s="2" t="str">
        <f>CLEAN("WAUKESHA")</f>
        <v>WAUKESHA</v>
      </c>
      <c r="B1378" s="2" t="str">
        <f t="shared" si="224"/>
        <v>CITY OF WAUKESHA</v>
      </c>
      <c r="C1378" s="2" t="s">
        <v>3413</v>
      </c>
      <c r="D1378" s="2" t="str">
        <f>CLEAN("2718-09-03")</f>
        <v>2718-09-03</v>
      </c>
      <c r="E1378" s="3" t="str">
        <f>CLEAN("TRANSIT SYSTEM VEHICLE REPLACEMENT")</f>
        <v>TRANSIT SYSTEM VEHICLE REPLACEMENT</v>
      </c>
      <c r="F1378" s="3" t="str">
        <f>CLEAN("TWO WAUKESHA CITY BUSES")</f>
        <v>TWO WAUKESHA CITY BUSES</v>
      </c>
      <c r="G1378" s="3" t="str">
        <f>CLEAN("TST/BUS PURCHASE")</f>
        <v>TST/BUS PURCHASE</v>
      </c>
      <c r="H1378" s="2" t="str">
        <f>CLEAN("NON HWY")</f>
        <v>NON HWY</v>
      </c>
      <c r="I1378" s="2" t="str">
        <f>CLEAN("211")</f>
        <v>211</v>
      </c>
    </row>
    <row r="1379" spans="1:9" x14ac:dyDescent="0.35">
      <c r="A1379" s="2" t="str">
        <f>CLEAN("MILWAUKEE")</f>
        <v>MILWAUKEE</v>
      </c>
      <c r="B1379" s="2" t="str">
        <f t="shared" si="224"/>
        <v>CITY OF WAUKESHA</v>
      </c>
      <c r="C1379" s="2" t="s">
        <v>2522</v>
      </c>
      <c r="D1379" s="2" t="str">
        <f>CLEAN("1000-78-00")</f>
        <v>1000-78-00</v>
      </c>
      <c r="E1379" s="3" t="str">
        <f>CLEAN("RAIL CORRIDOR SAFETY STUDY GRANT")</f>
        <v>RAIL CORRIDOR SAFETY STUDY GRANT</v>
      </c>
      <c r="F1379" s="3" t="str">
        <f>CLEAN("C WAUWATOSA &amp; C WAUKESHA")</f>
        <v>C WAUWATOSA &amp; C WAUKESHA</v>
      </c>
      <c r="G1379" s="3" t="str">
        <f>CLEAN("EX-RAIL/BIKE/PED AT GRADE STUDY")</f>
        <v>EX-RAIL/BIKE/PED AT GRADE STUDY</v>
      </c>
      <c r="H1379" s="2" t="str">
        <f>CLEAN("NON HWY")</f>
        <v>NON HWY</v>
      </c>
      <c r="I1379" s="2" t="str">
        <f>CLEAN("207")</f>
        <v>207</v>
      </c>
    </row>
    <row r="1380" spans="1:9" x14ac:dyDescent="0.35">
      <c r="A1380" s="2" t="str">
        <f t="shared" ref="A1380:A1395" si="225">CLEAN("WAUKESHA")</f>
        <v>WAUKESHA</v>
      </c>
      <c r="B1380" s="2" t="str">
        <f t="shared" si="224"/>
        <v>CITY OF WAUKESHA</v>
      </c>
      <c r="C1380" s="2" t="s">
        <v>2784</v>
      </c>
      <c r="D1380" s="2" t="str">
        <f>CLEAN("2718-00-08")</f>
        <v>2718-00-08</v>
      </c>
      <c r="E1380" s="3" t="str">
        <f>CLEAN("C WAUKESHA  E MORELAND BLVD")</f>
        <v>C WAUKESHA  E MORELAND BLVD</v>
      </c>
      <c r="F1380" s="3" t="str">
        <f>CLEAN("BRIDGE OVER FOX RIVER B67-205")</f>
        <v>BRIDGE OVER FOX RIVER B67-205</v>
      </c>
      <c r="G1380" s="3" t="str">
        <f>CLEAN("PE/FULL PS/BRRHB")</f>
        <v>PE/FULL PS/BRRHB</v>
      </c>
      <c r="H1380" s="2" t="str">
        <f>CLEAN("LOC STR")</f>
        <v>LOC STR</v>
      </c>
      <c r="I1380" s="2" t="str">
        <f>CLEAN("205")</f>
        <v>205</v>
      </c>
    </row>
    <row r="1381" spans="1:9" x14ac:dyDescent="0.35">
      <c r="A1381" s="2" t="str">
        <f t="shared" si="225"/>
        <v>WAUKESHA</v>
      </c>
      <c r="B1381" s="2" t="str">
        <f t="shared" si="224"/>
        <v>CITY OF WAUKESHA</v>
      </c>
      <c r="C1381" s="2" t="s">
        <v>485</v>
      </c>
      <c r="D1381" s="2" t="str">
        <f>CLEAN("2718-00-73")</f>
        <v>2718-00-73</v>
      </c>
      <c r="E1381" s="3" t="str">
        <f>CLEAN("C WAUKESHA  E MORELAND BLVD")</f>
        <v>C WAUKESHA  E MORELAND BLVD</v>
      </c>
      <c r="F1381" s="3" t="str">
        <f>CLEAN("BRIDGE OVER FOX RIVER B-67-248")</f>
        <v>BRIDGE OVER FOX RIVER B-67-248</v>
      </c>
      <c r="G1381" s="3" t="str">
        <f>CLEAN("CONST/BRRHB")</f>
        <v>CONST/BRRHB</v>
      </c>
      <c r="H1381" s="2" t="str">
        <f>CLEAN("LOC STR")</f>
        <v>LOC STR</v>
      </c>
      <c r="I1381" s="2" t="str">
        <f>CLEAN("205")</f>
        <v>205</v>
      </c>
    </row>
    <row r="1382" spans="1:9" x14ac:dyDescent="0.35">
      <c r="A1382" s="2" t="str">
        <f t="shared" si="225"/>
        <v>WAUKESHA</v>
      </c>
      <c r="B1382" s="2" t="str">
        <f t="shared" si="224"/>
        <v>CITY OF WAUKESHA</v>
      </c>
      <c r="C1382" s="2" t="s">
        <v>484</v>
      </c>
      <c r="D1382" s="2" t="str">
        <f>CLEAN("2718-00-78")</f>
        <v>2718-00-78</v>
      </c>
      <c r="E1382" s="3" t="str">
        <f>CLEAN("C WAUKESHA  E MORELAND BLVD")</f>
        <v>C WAUKESHA  E MORELAND BLVD</v>
      </c>
      <c r="F1382" s="3" t="str">
        <f>CLEAN("BRIDGE OVER FOX RIVER B67-205")</f>
        <v>BRIDGE OVER FOX RIVER B67-205</v>
      </c>
      <c r="G1382" s="3" t="str">
        <f>CLEAN("CONST/BRRHB")</f>
        <v>CONST/BRRHB</v>
      </c>
      <c r="H1382" s="2" t="str">
        <f>CLEAN("LOC STR")</f>
        <v>LOC STR</v>
      </c>
      <c r="I1382" s="2" t="str">
        <f>CLEAN("205")</f>
        <v>205</v>
      </c>
    </row>
    <row r="1383" spans="1:9" x14ac:dyDescent="0.35">
      <c r="A1383" s="2" t="str">
        <f t="shared" si="225"/>
        <v>WAUKESHA</v>
      </c>
      <c r="B1383" s="2" t="str">
        <f t="shared" si="224"/>
        <v>CITY OF WAUKESHA</v>
      </c>
      <c r="C1383" s="2" t="s">
        <v>789</v>
      </c>
      <c r="D1383" s="2" t="str">
        <f>CLEAN("2718-04-71")</f>
        <v>2718-04-71</v>
      </c>
      <c r="E1383" s="3" t="str">
        <f>CLEAN("W ST PAUL AVENUE")</f>
        <v>W ST PAUL AVENUE</v>
      </c>
      <c r="F1383" s="3" t="str">
        <f>CLEAN("MOUNTAIN AVE TO MADISON ST")</f>
        <v>MOUNTAIN AVE TO MADISON ST</v>
      </c>
      <c r="G1383" s="3" t="str">
        <f>CLEAN("CONST/RECONSTRUCT NO ADDED CAPACITY")</f>
        <v>CONST/RECONSTRUCT NO ADDED CAPACITY</v>
      </c>
      <c r="H1383" s="2" t="str">
        <f>CLEAN("LOC STR")</f>
        <v>LOC STR</v>
      </c>
      <c r="I1383" s="2" t="str">
        <f>CLEAN("206")</f>
        <v>206</v>
      </c>
    </row>
    <row r="1384" spans="1:9" x14ac:dyDescent="0.35">
      <c r="A1384" s="2" t="str">
        <f t="shared" si="225"/>
        <v>WAUKESHA</v>
      </c>
      <c r="B1384" s="2" t="str">
        <f t="shared" si="224"/>
        <v>CITY OF WAUKESHA</v>
      </c>
      <c r="C1384" s="2" t="s">
        <v>790</v>
      </c>
      <c r="D1384" s="2" t="str">
        <f>CLEAN("2718-04-72")</f>
        <v>2718-04-72</v>
      </c>
      <c r="E1384" s="3" t="str">
        <f>CLEAN("W ST PAUL AVENUE")</f>
        <v>W ST PAUL AVENUE</v>
      </c>
      <c r="F1384" s="3" t="str">
        <f>CLEAN("MOUNTAIN AVE TO MADISON ST")</f>
        <v>MOUNTAIN AVE TO MADISON ST</v>
      </c>
      <c r="G1384" s="3" t="str">
        <f>CLEAN("CONST/RECONSTRUCT NO ADDED CAPACITY")</f>
        <v>CONST/RECONSTRUCT NO ADDED CAPACITY</v>
      </c>
      <c r="H1384" s="2" t="str">
        <f>CLEAN("LOC STR")</f>
        <v>LOC STR</v>
      </c>
      <c r="I1384" s="2" t="str">
        <f>CLEAN("206")</f>
        <v>206</v>
      </c>
    </row>
    <row r="1385" spans="1:9" x14ac:dyDescent="0.35">
      <c r="A1385" s="2" t="str">
        <f t="shared" si="225"/>
        <v>WAUKESHA</v>
      </c>
      <c r="B1385" s="2" t="str">
        <f t="shared" si="224"/>
        <v>CITY OF WAUKESHA</v>
      </c>
      <c r="C1385" s="2" t="s">
        <v>2582</v>
      </c>
      <c r="D1385" s="2" t="str">
        <f>CLEAN("2718-08-71")</f>
        <v>2718-08-71</v>
      </c>
      <c r="E1385" s="3" t="str">
        <f>CLEAN("CENTRACS TRAFFIC MANAGEMENT SYSTEM")</f>
        <v>CENTRACS TRAFFIC MANAGEMENT SYSTEM</v>
      </c>
      <c r="F1385" s="3" t="str">
        <f>CLEAN("CITY OF WAUKESHA")</f>
        <v>CITY OF WAUKESHA</v>
      </c>
      <c r="G1385" s="3" t="str">
        <f>CLEAN("MIS/PROCUREMENT &amp; INTERGRATION")</f>
        <v>MIS/PROCUREMENT &amp; INTERGRATION</v>
      </c>
      <c r="H1385" s="2" t="str">
        <f>CLEAN("NON HWY")</f>
        <v>NON HWY</v>
      </c>
      <c r="I1385" s="2" t="str">
        <f>CLEAN("211")</f>
        <v>211</v>
      </c>
    </row>
    <row r="1386" spans="1:9" x14ac:dyDescent="0.35">
      <c r="A1386" s="2" t="str">
        <f t="shared" si="225"/>
        <v>WAUKESHA</v>
      </c>
      <c r="B1386" s="2" t="str">
        <f t="shared" si="224"/>
        <v>CITY OF WAUKESHA</v>
      </c>
      <c r="C1386" s="2" t="s">
        <v>2575</v>
      </c>
      <c r="D1386" s="2" t="str">
        <f>CLEAN("2718-08-72")</f>
        <v>2718-08-72</v>
      </c>
      <c r="E1386" s="3" t="str">
        <f>CLEAN("FIBER AND RADIO INTERCONNECT")</f>
        <v>FIBER AND RADIO INTERCONNECT</v>
      </c>
      <c r="F1386" s="3" t="str">
        <f>CLEAN("CITY OF WAUKESHA")</f>
        <v>CITY OF WAUKESHA</v>
      </c>
      <c r="G1386" s="3" t="str">
        <f>CLEAN("MIS/FIBER/RADIO INSTALLATION")</f>
        <v>MIS/FIBER/RADIO INSTALLATION</v>
      </c>
      <c r="H1386" s="2" t="str">
        <f>CLEAN("NON HWY")</f>
        <v>NON HWY</v>
      </c>
      <c r="I1386" s="2" t="str">
        <f>CLEAN("211")</f>
        <v>211</v>
      </c>
    </row>
    <row r="1387" spans="1:9" x14ac:dyDescent="0.35">
      <c r="A1387" s="2" t="str">
        <f t="shared" si="225"/>
        <v>WAUKESHA</v>
      </c>
      <c r="B1387" s="2" t="str">
        <f t="shared" si="224"/>
        <v>CITY OF WAUKESHA</v>
      </c>
      <c r="C1387" s="2" t="s">
        <v>2658</v>
      </c>
      <c r="D1387" s="2" t="str">
        <f>CLEAN("2718-19-00")</f>
        <v>2718-19-00</v>
      </c>
      <c r="E1387" s="3" t="str">
        <f>CLEAN("MADISON STREET")</f>
        <v>MADISON STREET</v>
      </c>
      <c r="F1387" s="3" t="str">
        <f>CLEAN("BRIDGE OVER FOX RIVER B-67-0099")</f>
        <v>BRIDGE OVER FOX RIVER B-67-0099</v>
      </c>
      <c r="G1387" s="3" t="str">
        <f>CLEAN("PE/DECK OVERLAY")</f>
        <v>PE/DECK OVERLAY</v>
      </c>
      <c r="H1387" s="2" t="str">
        <f t="shared" ref="H1387:H1393" si="226">CLEAN("LOC STR")</f>
        <v>LOC STR</v>
      </c>
      <c r="I1387" s="2" t="str">
        <f>CLEAN("205")</f>
        <v>205</v>
      </c>
    </row>
    <row r="1388" spans="1:9" x14ac:dyDescent="0.35">
      <c r="A1388" s="2" t="str">
        <f t="shared" si="225"/>
        <v>WAUKESHA</v>
      </c>
      <c r="B1388" s="2" t="str">
        <f t="shared" si="224"/>
        <v>CITY OF WAUKESHA</v>
      </c>
      <c r="C1388" s="2" t="s">
        <v>542</v>
      </c>
      <c r="D1388" s="2" t="str">
        <f>CLEAN("2718-19-70")</f>
        <v>2718-19-70</v>
      </c>
      <c r="E1388" s="3" t="str">
        <f>CLEAN("MADISON STREET")</f>
        <v>MADISON STREET</v>
      </c>
      <c r="F1388" s="3" t="str">
        <f>CLEAN("BRIDGE OVER FOX RIVER B-67-0099")</f>
        <v>BRIDGE OVER FOX RIVER B-67-0099</v>
      </c>
      <c r="G1388" s="3" t="str">
        <f>CLEAN("CONST/DECK OVERLAY")</f>
        <v>CONST/DECK OVERLAY</v>
      </c>
      <c r="H1388" s="2" t="str">
        <f t="shared" si="226"/>
        <v>LOC STR</v>
      </c>
      <c r="I1388" s="2" t="str">
        <f>CLEAN("205")</f>
        <v>205</v>
      </c>
    </row>
    <row r="1389" spans="1:9" x14ac:dyDescent="0.35">
      <c r="A1389" s="2" t="str">
        <f t="shared" si="225"/>
        <v>WAUKESHA</v>
      </c>
      <c r="B1389" s="2" t="str">
        <f t="shared" si="224"/>
        <v>CITY OF WAUKESHA</v>
      </c>
      <c r="C1389" s="2" t="s">
        <v>2659</v>
      </c>
      <c r="D1389" s="2" t="str">
        <f>CLEAN("2718-20-00")</f>
        <v>2718-20-00</v>
      </c>
      <c r="E1389" s="3" t="str">
        <f>CLEAN("PRAIRIE AVENUE")</f>
        <v>PRAIRIE AVENUE</v>
      </c>
      <c r="F1389" s="3" t="str">
        <f>CLEAN("BRIDGE OVER FOX RIVER B-67-0177")</f>
        <v>BRIDGE OVER FOX RIVER B-67-0177</v>
      </c>
      <c r="G1389" s="3" t="str">
        <f>CLEAN("PE/DECK OVERLAY")</f>
        <v>PE/DECK OVERLAY</v>
      </c>
      <c r="H1389" s="2" t="str">
        <f t="shared" si="226"/>
        <v>LOC STR</v>
      </c>
      <c r="I1389" s="2" t="str">
        <f>CLEAN("205")</f>
        <v>205</v>
      </c>
    </row>
    <row r="1390" spans="1:9" x14ac:dyDescent="0.35">
      <c r="A1390" s="2" t="str">
        <f t="shared" si="225"/>
        <v>WAUKESHA</v>
      </c>
      <c r="B1390" s="2" t="str">
        <f t="shared" si="224"/>
        <v>CITY OF WAUKESHA</v>
      </c>
      <c r="C1390" s="2" t="s">
        <v>543</v>
      </c>
      <c r="D1390" s="2" t="str">
        <f>CLEAN("2718-20-70")</f>
        <v>2718-20-70</v>
      </c>
      <c r="E1390" s="3" t="str">
        <f>CLEAN("PRAIRIE AVENUE")</f>
        <v>PRAIRIE AVENUE</v>
      </c>
      <c r="F1390" s="3" t="str">
        <f>CLEAN("BRIDGE OVER FOX RIVER B-67-0177")</f>
        <v>BRIDGE OVER FOX RIVER B-67-0177</v>
      </c>
      <c r="G1390" s="3" t="str">
        <f>CLEAN("CONST/DECK OVERLAY")</f>
        <v>CONST/DECK OVERLAY</v>
      </c>
      <c r="H1390" s="2" t="str">
        <f t="shared" si="226"/>
        <v>LOC STR</v>
      </c>
      <c r="I1390" s="2" t="str">
        <f>CLEAN("205")</f>
        <v>205</v>
      </c>
    </row>
    <row r="1391" spans="1:9" x14ac:dyDescent="0.35">
      <c r="A1391" s="2" t="str">
        <f t="shared" si="225"/>
        <v>WAUKESHA</v>
      </c>
      <c r="B1391" s="2" t="str">
        <f t="shared" si="224"/>
        <v>CITY OF WAUKESHA</v>
      </c>
      <c r="C1391" s="2" t="s">
        <v>2989</v>
      </c>
      <c r="D1391" s="2" t="str">
        <f>CLEAN("2718-23-00")</f>
        <v>2718-23-00</v>
      </c>
      <c r="E1391" s="3" t="str">
        <f>CLEAN("C WAUKESHA  W SUNSET DR")</f>
        <v>C WAUKESHA  W SUNSET DR</v>
      </c>
      <c r="F1391" s="3" t="str">
        <f>CLEAN("INTERSECTION WITH PRAIRIE AVE")</f>
        <v>INTERSECTION WITH PRAIRIE AVE</v>
      </c>
      <c r="G1391" s="3" t="str">
        <f>CLEAN("PE/STATE REVIEW ONLY")</f>
        <v>PE/STATE REVIEW ONLY</v>
      </c>
      <c r="H1391" s="2" t="str">
        <f t="shared" si="226"/>
        <v>LOC STR</v>
      </c>
      <c r="I1391" s="2" t="str">
        <f>CLEAN("206")</f>
        <v>206</v>
      </c>
    </row>
    <row r="1392" spans="1:9" x14ac:dyDescent="0.35">
      <c r="A1392" s="2" t="str">
        <f t="shared" si="225"/>
        <v>WAUKESHA</v>
      </c>
      <c r="B1392" s="2" t="str">
        <f t="shared" si="224"/>
        <v>CITY OF WAUKESHA</v>
      </c>
      <c r="C1392" s="2" t="s">
        <v>1043</v>
      </c>
      <c r="D1392" s="2" t="str">
        <f>CLEAN("2718-23-70")</f>
        <v>2718-23-70</v>
      </c>
      <c r="E1392" s="3" t="str">
        <f>CLEAN("C WAUKESHA  W SUNSET DR")</f>
        <v>C WAUKESHA  W SUNSET DR</v>
      </c>
      <c r="F1392" s="3" t="str">
        <f>CLEAN("INTERSECTION WITH PRAIRIE AVE")</f>
        <v>INTERSECTION WITH PRAIRIE AVE</v>
      </c>
      <c r="G1392" s="3" t="str">
        <f>CLEAN("CONST/SIGNAL REHAB")</f>
        <v>CONST/SIGNAL REHAB</v>
      </c>
      <c r="H1392" s="2" t="str">
        <f t="shared" si="226"/>
        <v>LOC STR</v>
      </c>
      <c r="I1392" s="2" t="str">
        <f>CLEAN("206")</f>
        <v>206</v>
      </c>
    </row>
    <row r="1393" spans="1:9" x14ac:dyDescent="0.35">
      <c r="A1393" s="2" t="str">
        <f t="shared" si="225"/>
        <v>WAUKESHA</v>
      </c>
      <c r="B1393" s="2" t="str">
        <f t="shared" si="224"/>
        <v>CITY OF WAUKESHA</v>
      </c>
      <c r="C1393" s="2" t="s">
        <v>3090</v>
      </c>
      <c r="D1393" s="2" t="str">
        <f>CLEAN("2718-23-80")</f>
        <v>2718-23-80</v>
      </c>
      <c r="E1393" s="3" t="str">
        <f>CLEAN("C WAUKESHA  W SUNSET DR")</f>
        <v>C WAUKESHA  W SUNSET DR</v>
      </c>
      <c r="F1393" s="3" t="str">
        <f>CLEAN("INTERSECTION WITH PRAIRIE AVE")</f>
        <v>INTERSECTION WITH PRAIRIE AVE</v>
      </c>
      <c r="G1393" s="3" t="str">
        <f>CLEAN("PROCUREMENT/SIGNAL REHAB")</f>
        <v>PROCUREMENT/SIGNAL REHAB</v>
      </c>
      <c r="H1393" s="2" t="str">
        <f t="shared" si="226"/>
        <v>LOC STR</v>
      </c>
      <c r="I1393" s="2" t="str">
        <f>CLEAN("206")</f>
        <v>206</v>
      </c>
    </row>
    <row r="1394" spans="1:9" x14ac:dyDescent="0.35">
      <c r="A1394" s="2" t="str">
        <f t="shared" si="225"/>
        <v>WAUKESHA</v>
      </c>
      <c r="B1394" s="2" t="str">
        <f t="shared" si="224"/>
        <v>CITY OF WAUKESHA</v>
      </c>
      <c r="C1394" s="2" t="s">
        <v>669</v>
      </c>
      <c r="D1394" s="2" t="str">
        <f>CLEAN("2773-10-70")</f>
        <v>2773-10-70</v>
      </c>
      <c r="E1394" s="3" t="str">
        <f>CLEAN("EAST WAUKESHA BYPASS")</f>
        <v>EAST WAUKESHA BYPASS</v>
      </c>
      <c r="F1394" s="3" t="str">
        <f>CLEAN("SUNSET DRIVE TO ARCADIAN AVENUE")</f>
        <v>SUNSET DRIVE TO ARCADIAN AVENUE</v>
      </c>
      <c r="G1394" s="3" t="str">
        <f>CLEAN("CONST/PAVEMENT REPLACEMENT")</f>
        <v>CONST/PAVEMENT REPLACEMENT</v>
      </c>
      <c r="H1394" s="2" t="str">
        <f>CLEAN("STH 059")</f>
        <v>STH 059</v>
      </c>
      <c r="I1394" s="2" t="str">
        <f>CLEAN("303")</f>
        <v>303</v>
      </c>
    </row>
    <row r="1395" spans="1:9" x14ac:dyDescent="0.35">
      <c r="A1395" s="2" t="str">
        <f t="shared" si="225"/>
        <v>WAUKESHA</v>
      </c>
      <c r="B1395" s="2" t="str">
        <f t="shared" si="224"/>
        <v>CITY OF WAUKESHA</v>
      </c>
      <c r="C1395" s="2" t="s">
        <v>786</v>
      </c>
      <c r="D1395" s="2" t="str">
        <f>CLEAN("2788-00-71")</f>
        <v>2788-00-71</v>
      </c>
      <c r="E1395" s="3" t="str">
        <f>CLEAN("WAUKESHA BYPASS")</f>
        <v>WAUKESHA BYPASS</v>
      </c>
      <c r="F1395" s="3" t="str">
        <f>CLEAN("GENESEE RD TO FIDDLERS CREEK DR")</f>
        <v>GENESEE RD TO FIDDLERS CREEK DR</v>
      </c>
      <c r="G1395" s="3" t="str">
        <f>CLEAN("CONST/RECONSTRUCT  PAVING")</f>
        <v>CONST/RECONSTRUCT  PAVING</v>
      </c>
      <c r="H1395" s="2" t="str">
        <f>CLEAN("USH 018")</f>
        <v>USH 018</v>
      </c>
      <c r="I1395" s="2" t="str">
        <f>CLEAN("303")</f>
        <v>303</v>
      </c>
    </row>
    <row r="1396" spans="1:9" x14ac:dyDescent="0.35">
      <c r="A1396" s="2" t="str">
        <f>CLEAN("WAUPACA")</f>
        <v>WAUPACA</v>
      </c>
      <c r="B1396" s="2" t="str">
        <f>CLEAN("CITY OF WAUPACA")</f>
        <v>CITY OF WAUPACA</v>
      </c>
      <c r="C1396" s="2" t="s">
        <v>1694</v>
      </c>
      <c r="D1396" s="2" t="str">
        <f>CLEAN("6898-03-02")</f>
        <v>6898-03-02</v>
      </c>
      <c r="E1396" s="3" t="str">
        <f>CLEAN("WAUPACA RIVERVIEW PEDESTRIAN BRIDGE")</f>
        <v>WAUPACA RIVERVIEW PEDESTRIAN BRIDGE</v>
      </c>
      <c r="F1396" s="3" t="str">
        <f>CLEAN("COOPER STREET TO N DIVISION STREET")</f>
        <v>COOPER STREET TO N DIVISION STREET</v>
      </c>
      <c r="G1396" s="3" t="str">
        <f>CLEAN("DESIGN OVERSITE")</f>
        <v>DESIGN OVERSITE</v>
      </c>
      <c r="H1396" s="2" t="str">
        <f>CLEAN("NON HWY")</f>
        <v>NON HWY</v>
      </c>
      <c r="I1396" s="2" t="str">
        <f>CLEAN("290")</f>
        <v>290</v>
      </c>
    </row>
    <row r="1397" spans="1:9" x14ac:dyDescent="0.35">
      <c r="A1397" s="2" t="str">
        <f>CLEAN("WAUPACA")</f>
        <v>WAUPACA</v>
      </c>
      <c r="B1397" s="2" t="str">
        <f>CLEAN("CITY OF WAUPACA")</f>
        <v>CITY OF WAUPACA</v>
      </c>
      <c r="C1397" s="2" t="s">
        <v>1392</v>
      </c>
      <c r="D1397" s="2" t="str">
        <f>CLEAN("6420-00-04")</f>
        <v>6420-00-04</v>
      </c>
      <c r="E1397" s="3" t="str">
        <f>CLEAN("C WAUPACA  W FULTON &amp; N HARRISON ST")</f>
        <v>C WAUPACA  W FULTON &amp; N HARRISON ST</v>
      </c>
      <c r="F1397" s="3" t="str">
        <f>CLEAN("N WESTERN AVENUE TO NORTH STREET")</f>
        <v>N WESTERN AVENUE TO NORTH STREET</v>
      </c>
      <c r="G1397" s="3" t="str">
        <f>CLEAN("DES/FULL PSE/PAVEMENT REPLACEMENT")</f>
        <v>DES/FULL PSE/PAVEMENT REPLACEMENT</v>
      </c>
      <c r="H1397" s="2" t="str">
        <f>CLEAN("STH 049")</f>
        <v>STH 049</v>
      </c>
      <c r="I1397" s="2" t="str">
        <f>CLEAN("303")</f>
        <v>303</v>
      </c>
    </row>
    <row r="1398" spans="1:9" x14ac:dyDescent="0.35">
      <c r="A1398" s="2" t="str">
        <f>CLEAN("WAUPACA")</f>
        <v>WAUPACA</v>
      </c>
      <c r="B1398" s="2" t="str">
        <f>CLEAN("CITY OF WAUPACA")</f>
        <v>CITY OF WAUPACA</v>
      </c>
      <c r="C1398" s="2" t="s">
        <v>1137</v>
      </c>
      <c r="D1398" s="2" t="str">
        <f>CLEAN("6420-00-72")</f>
        <v>6420-00-72</v>
      </c>
      <c r="E1398" s="3" t="str">
        <f>CLEAN("WAUPACA - NORTHLAND")</f>
        <v>WAUPACA - NORTHLAND</v>
      </c>
      <c r="F1398" s="3" t="str">
        <f>CLEAN("NORTH STREET TO DEPOT STREET")</f>
        <v>NORTH STREET TO DEPOT STREET</v>
      </c>
      <c r="G1398" s="3" t="str">
        <f>CLEAN("CONSTR/RESURF")</f>
        <v>CONSTR/RESURF</v>
      </c>
      <c r="H1398" s="2" t="str">
        <f>CLEAN("STH 049")</f>
        <v>STH 049</v>
      </c>
      <c r="I1398" s="2" t="str">
        <f>CLEAN("303")</f>
        <v>303</v>
      </c>
    </row>
    <row r="1399" spans="1:9" x14ac:dyDescent="0.35">
      <c r="A1399" s="2" t="str">
        <f>CLEAN("DODGE")</f>
        <v>DODGE</v>
      </c>
      <c r="B1399" s="2" t="str">
        <f>CLEAN("CITY OF WAUPUN")</f>
        <v>CITY OF WAUPUN</v>
      </c>
      <c r="C1399" s="2" t="s">
        <v>2316</v>
      </c>
      <c r="D1399" s="2" t="str">
        <f>CLEAN("6235-01-03")</f>
        <v>6235-01-03</v>
      </c>
      <c r="E1399" s="3" t="str">
        <f>CLEAN("WATERTOWN - WAUPUN")</f>
        <v>WATERTOWN - WAUPUN</v>
      </c>
      <c r="F1399" s="3" t="str">
        <f>CLEAN("0.2 MI S OF MILLIGAN RD TO DOTY ST")</f>
        <v>0.2 MI S OF MILLIGAN RD TO DOTY ST</v>
      </c>
      <c r="G1399" s="3" t="str">
        <f>CLEAN("DESIGN-FULL PS&amp;E RSRF30")</f>
        <v>DESIGN-FULL PS&amp;E RSRF30</v>
      </c>
      <c r="H1399" s="2" t="str">
        <f>CLEAN("STH 026")</f>
        <v>STH 026</v>
      </c>
      <c r="I1399" s="2" t="str">
        <f>CLEAN("303")</f>
        <v>303</v>
      </c>
    </row>
    <row r="1400" spans="1:9" x14ac:dyDescent="0.35">
      <c r="A1400" s="2" t="str">
        <f>CLEAN("DODGE")</f>
        <v>DODGE</v>
      </c>
      <c r="B1400" s="2" t="str">
        <f>CLEAN("CITY OF WAUPUN")</f>
        <v>CITY OF WAUPUN</v>
      </c>
      <c r="C1400" s="2" t="s">
        <v>2249</v>
      </c>
      <c r="D1400" s="2" t="str">
        <f>CLEAN("6998-05-04")</f>
        <v>6998-05-04</v>
      </c>
      <c r="E1400" s="3" t="str">
        <f>CLEAN("CITY WAUPUN  S MADISON STREET")</f>
        <v>CITY WAUPUN  S MADISON STREET</v>
      </c>
      <c r="F1400" s="3" t="str">
        <f>CLEAN("DOTY STREET TO E LINCOLN STREET")</f>
        <v>DOTY STREET TO E LINCOLN STREET</v>
      </c>
      <c r="G1400" s="3" t="str">
        <f>CLEAN("DESIGN/RECONSTRUCT")</f>
        <v>DESIGN/RECONSTRUCT</v>
      </c>
      <c r="H1400" s="2" t="str">
        <f>CLEAN("LOC STR")</f>
        <v>LOC STR</v>
      </c>
      <c r="I1400" s="2" t="str">
        <f>CLEAN("206")</f>
        <v>206</v>
      </c>
    </row>
    <row r="1401" spans="1:9" x14ac:dyDescent="0.35">
      <c r="A1401" s="2" t="str">
        <f>CLEAN("DODGE")</f>
        <v>DODGE</v>
      </c>
      <c r="B1401" s="2" t="str">
        <f>CLEAN("CITY OF WAUPUN")</f>
        <v>CITY OF WAUPUN</v>
      </c>
      <c r="C1401" s="2" t="s">
        <v>3406</v>
      </c>
      <c r="D1401" s="2" t="str">
        <f>CLEAN("3700-11-73")</f>
        <v>3700-11-73</v>
      </c>
      <c r="E1401" s="3" t="str">
        <f>CLEAN("CITY OF WAUPUN")</f>
        <v>CITY OF WAUPUN</v>
      </c>
      <c r="F1401" s="3" t="str">
        <f>CLEAN("MADISON/WATERTOWN/SHALER INTERSECTS")</f>
        <v>MADISON/WATERTOWN/SHALER INTERSECTS</v>
      </c>
      <c r="G1401" s="3" t="str">
        <f>CLEAN("TRF/SIGNAL REHAB AND RETROFIT FY25")</f>
        <v>TRF/SIGNAL REHAB AND RETROFIT FY25</v>
      </c>
      <c r="H1401" s="2" t="str">
        <f>CLEAN("STH 049")</f>
        <v>STH 049</v>
      </c>
      <c r="I1401" s="2" t="str">
        <f>CLEAN("305")</f>
        <v>305</v>
      </c>
    </row>
    <row r="1402" spans="1:9" x14ac:dyDescent="0.35">
      <c r="A1402" s="2" t="str">
        <f>CLEAN("DODGE")</f>
        <v>DODGE</v>
      </c>
      <c r="B1402" s="2" t="str">
        <f>CLEAN("CITY OF WAUPUN")</f>
        <v>CITY OF WAUPUN</v>
      </c>
      <c r="C1402" s="2" t="s">
        <v>2613</v>
      </c>
      <c r="D1402" s="2" t="str">
        <f>CLEAN("6070-02-00")</f>
        <v>6070-02-00</v>
      </c>
      <c r="E1402" s="3" t="str">
        <f>CLEAN("C WAUPUN FOX LAKE STREET")</f>
        <v>C WAUPUN FOX LAKE STREET</v>
      </c>
      <c r="F1402" s="3" t="str">
        <f>CLEAN("WEST STREET TO STH 49")</f>
        <v>WEST STREET TO STH 49</v>
      </c>
      <c r="G1402" s="3" t="str">
        <f>CLEAN("PE/ MILL AND OVERLAY")</f>
        <v>PE/ MILL AND OVERLAY</v>
      </c>
      <c r="H1402" s="2" t="str">
        <f>CLEAN("STH 068")</f>
        <v>STH 068</v>
      </c>
      <c r="I1402" s="2" t="str">
        <f>CLEAN("303")</f>
        <v>303</v>
      </c>
    </row>
    <row r="1403" spans="1:9" x14ac:dyDescent="0.35">
      <c r="A1403" s="2" t="str">
        <f t="shared" ref="A1403:A1423" si="227">CLEAN("MARATHON")</f>
        <v>MARATHON</v>
      </c>
      <c r="B1403" s="2" t="str">
        <f t="shared" ref="B1403:B1423" si="228">CLEAN("CITY OF WAUSAU")</f>
        <v>CITY OF WAUSAU</v>
      </c>
      <c r="C1403" s="2" t="s">
        <v>2252</v>
      </c>
      <c r="D1403" s="2" t="str">
        <f>CLEAN("6999-02-09")</f>
        <v>6999-02-09</v>
      </c>
      <c r="E1403" s="3" t="str">
        <f>CLEAN("C WAUSAU  GRAND AVENUE")</f>
        <v>C WAUSAU  GRAND AVENUE</v>
      </c>
      <c r="F1403" s="3" t="str">
        <f>CLEAN("KENT STREET TO EAST THOMAS STREET")</f>
        <v>KENT STREET TO EAST THOMAS STREET</v>
      </c>
      <c r="G1403" s="3" t="str">
        <f>CLEAN("DESIGN/RECONSTRUCT")</f>
        <v>DESIGN/RECONSTRUCT</v>
      </c>
      <c r="H1403" s="2" t="str">
        <f>CLEAN("BUS 051")</f>
        <v>BUS 051</v>
      </c>
      <c r="I1403" s="2" t="str">
        <f>CLEAN("303")</f>
        <v>303</v>
      </c>
    </row>
    <row r="1404" spans="1:9" x14ac:dyDescent="0.35">
      <c r="A1404" s="2" t="str">
        <f t="shared" si="227"/>
        <v>MARATHON</v>
      </c>
      <c r="B1404" s="2" t="str">
        <f t="shared" si="228"/>
        <v>CITY OF WAUSAU</v>
      </c>
      <c r="C1404" s="2" t="s">
        <v>1914</v>
      </c>
      <c r="D1404" s="2" t="str">
        <f>CLEAN("6999-02-10")</f>
        <v>6999-02-10</v>
      </c>
      <c r="E1404" s="3" t="str">
        <f>CLEAN("C WAUSAU  GRAND AVENUE")</f>
        <v>C WAUSAU  GRAND AVENUE</v>
      </c>
      <c r="F1404" s="3" t="str">
        <f>CLEAN("LAKEVIEW DRIVE TO KENT STREET")</f>
        <v>LAKEVIEW DRIVE TO KENT STREET</v>
      </c>
      <c r="G1404" s="3" t="str">
        <f>CLEAN("DESIGN/FULL PSE/PVRPLA")</f>
        <v>DESIGN/FULL PSE/PVRPLA</v>
      </c>
      <c r="H1404" s="2" t="str">
        <f>CLEAN("BUS 051")</f>
        <v>BUS 051</v>
      </c>
      <c r="I1404" s="2" t="str">
        <f>CLEAN("303")</f>
        <v>303</v>
      </c>
    </row>
    <row r="1405" spans="1:9" x14ac:dyDescent="0.35">
      <c r="A1405" s="2" t="str">
        <f t="shared" si="227"/>
        <v>MARATHON</v>
      </c>
      <c r="B1405" s="2" t="str">
        <f t="shared" si="228"/>
        <v>CITY OF WAUSAU</v>
      </c>
      <c r="C1405" s="2" t="s">
        <v>1394</v>
      </c>
      <c r="D1405" s="2" t="str">
        <f>CLEAN("6999-02-11")</f>
        <v>6999-02-11</v>
      </c>
      <c r="E1405" s="3" t="str">
        <f>CLEAN("C WAUSAU  NORTH 3RD AVENUE")</f>
        <v>C WAUSAU  NORTH 3RD AVENUE</v>
      </c>
      <c r="F1405" s="3" t="str">
        <f>CLEAN("W UNION ST TO W BRIDGE STREET  SB")</f>
        <v>W UNION ST TO W BRIDGE STREET  SB</v>
      </c>
      <c r="G1405" s="3" t="str">
        <f>CLEAN("DES/FULL PSE/PAVEMENT REPLACEMENT")</f>
        <v>DES/FULL PSE/PAVEMENT REPLACEMENT</v>
      </c>
      <c r="H1405" s="2" t="str">
        <f>CLEAN("STH B05")</f>
        <v>STH B05</v>
      </c>
      <c r="I1405" s="2" t="str">
        <f>CLEAN("303")</f>
        <v>303</v>
      </c>
    </row>
    <row r="1406" spans="1:9" x14ac:dyDescent="0.35">
      <c r="A1406" s="2" t="str">
        <f t="shared" si="227"/>
        <v>MARATHON</v>
      </c>
      <c r="B1406" s="2" t="str">
        <f t="shared" si="228"/>
        <v>CITY OF WAUSAU</v>
      </c>
      <c r="C1406" s="2" t="s">
        <v>3069</v>
      </c>
      <c r="D1406" s="2" t="str">
        <f>CLEAN("1009-46-37")</f>
        <v>1009-46-37</v>
      </c>
      <c r="E1406" s="3" t="str">
        <f>CLEAN("WAUSAU SAFE ROUTES TO SCHOOL PLAN")</f>
        <v>WAUSAU SAFE ROUTES TO SCHOOL PLAN</v>
      </c>
      <c r="F1406" s="3" t="str">
        <f>CLEAN("CITY OF WAUSAU FACILITIES")</f>
        <v>CITY OF WAUSAU FACILITIES</v>
      </c>
      <c r="G1406" s="3" t="str">
        <f>CLEAN("PLAN DESIGN")</f>
        <v>PLAN DESIGN</v>
      </c>
      <c r="H1406" s="2" t="str">
        <f>CLEAN("NON HWY")</f>
        <v>NON HWY</v>
      </c>
      <c r="I1406" s="2" t="str">
        <f>CLEAN("290")</f>
        <v>290</v>
      </c>
    </row>
    <row r="1407" spans="1:9" x14ac:dyDescent="0.35">
      <c r="A1407" s="2" t="str">
        <f t="shared" si="227"/>
        <v>MARATHON</v>
      </c>
      <c r="B1407" s="2" t="str">
        <f t="shared" si="228"/>
        <v>CITY OF WAUSAU</v>
      </c>
      <c r="C1407" s="2" t="s">
        <v>2552</v>
      </c>
      <c r="D1407" s="2" t="str">
        <f>CLEAN("3700-40-40")</f>
        <v>3700-40-40</v>
      </c>
      <c r="E1407" s="3" t="str">
        <f>CLEAN("C WAUSAU  GRAND AVE SIGNAL RETROFIT")</f>
        <v>C WAUSAU  GRAND AVE SIGNAL RETROFIT</v>
      </c>
      <c r="F1407" s="3" t="str">
        <f>CLEAN("BUS 51/TOWNLINE RD INTERSECTION")</f>
        <v>BUS 51/TOWNLINE RD INTERSECTION</v>
      </c>
      <c r="G1407" s="3" t="str">
        <f>CLEAN("ITS/DESIGN/STANDALONE PROGRAM")</f>
        <v>ITS/DESIGN/STANDALONE PROGRAM</v>
      </c>
      <c r="H1407" s="2" t="str">
        <f t="shared" ref="H1407:H1412" si="229">CLEAN("STH B05")</f>
        <v>STH B05</v>
      </c>
      <c r="I1407" s="2" t="str">
        <f t="shared" ref="I1407:I1414" si="230">CLEAN("305")</f>
        <v>305</v>
      </c>
    </row>
    <row r="1408" spans="1:9" x14ac:dyDescent="0.35">
      <c r="A1408" s="2" t="str">
        <f t="shared" si="227"/>
        <v>MARATHON</v>
      </c>
      <c r="B1408" s="2" t="str">
        <f t="shared" si="228"/>
        <v>CITY OF WAUSAU</v>
      </c>
      <c r="C1408" s="2" t="s">
        <v>2546</v>
      </c>
      <c r="D1408" s="2" t="str">
        <f>CLEAN("3700-40-41")</f>
        <v>3700-40-41</v>
      </c>
      <c r="E1408" s="3" t="str">
        <f>CLEAN("C WAUSAU  GRAND AVE SIGNAL RETROFIT")</f>
        <v>C WAUSAU  GRAND AVE SIGNAL RETROFIT</v>
      </c>
      <c r="F1408" s="3" t="str">
        <f>CLEAN("BUS 51/TOWNLINE RD INTERSECTION")</f>
        <v>BUS 51/TOWNLINE RD INTERSECTION</v>
      </c>
      <c r="G1408" s="3" t="str">
        <f>CLEAN("ITS/CONST/STANDALONE PROGRAM")</f>
        <v>ITS/CONST/STANDALONE PROGRAM</v>
      </c>
      <c r="H1408" s="2" t="str">
        <f t="shared" si="229"/>
        <v>STH B05</v>
      </c>
      <c r="I1408" s="2" t="str">
        <f t="shared" si="230"/>
        <v>305</v>
      </c>
    </row>
    <row r="1409" spans="1:9" x14ac:dyDescent="0.35">
      <c r="A1409" s="2" t="str">
        <f t="shared" si="227"/>
        <v>MARATHON</v>
      </c>
      <c r="B1409" s="2" t="str">
        <f t="shared" si="228"/>
        <v>CITY OF WAUSAU</v>
      </c>
      <c r="C1409" s="2" t="s">
        <v>2553</v>
      </c>
      <c r="D1409" s="2" t="str">
        <f>CLEAN("3700-40-42")</f>
        <v>3700-40-42</v>
      </c>
      <c r="E1409" s="3" t="str">
        <f>CLEAN("C WAUSAU  GRAND AVE SIGNAL RETROFIT")</f>
        <v>C WAUSAU  GRAND AVE SIGNAL RETROFIT</v>
      </c>
      <c r="F1409" s="3" t="str">
        <f>CLEAN("BUS51/STURGEON EDDY RD INTERSECTION")</f>
        <v>BUS51/STURGEON EDDY RD INTERSECTION</v>
      </c>
      <c r="G1409" s="3" t="str">
        <f>CLEAN("ITS/DESIGN/STANDALONE PROGRAM")</f>
        <v>ITS/DESIGN/STANDALONE PROGRAM</v>
      </c>
      <c r="H1409" s="2" t="str">
        <f t="shared" si="229"/>
        <v>STH B05</v>
      </c>
      <c r="I1409" s="2" t="str">
        <f t="shared" si="230"/>
        <v>305</v>
      </c>
    </row>
    <row r="1410" spans="1:9" x14ac:dyDescent="0.35">
      <c r="A1410" s="2" t="str">
        <f t="shared" si="227"/>
        <v>MARATHON</v>
      </c>
      <c r="B1410" s="2" t="str">
        <f t="shared" si="228"/>
        <v>CITY OF WAUSAU</v>
      </c>
      <c r="C1410" s="2" t="s">
        <v>2547</v>
      </c>
      <c r="D1410" s="2" t="str">
        <f>CLEAN("3700-40-43")</f>
        <v>3700-40-43</v>
      </c>
      <c r="E1410" s="3" t="str">
        <f>CLEAN("C WAUSAU  GRAND AVE SIGNAL RETROFIT")</f>
        <v>C WAUSAU  GRAND AVE SIGNAL RETROFIT</v>
      </c>
      <c r="F1410" s="3" t="str">
        <f>CLEAN("BUS51/STURGEON EDDY RD INTERSECTION")</f>
        <v>BUS51/STURGEON EDDY RD INTERSECTION</v>
      </c>
      <c r="G1410" s="3" t="str">
        <f>CLEAN("ITS/CONST/STANDALONE PROGRAM")</f>
        <v>ITS/CONST/STANDALONE PROGRAM</v>
      </c>
      <c r="H1410" s="2" t="str">
        <f t="shared" si="229"/>
        <v>STH B05</v>
      </c>
      <c r="I1410" s="2" t="str">
        <f t="shared" si="230"/>
        <v>305</v>
      </c>
    </row>
    <row r="1411" spans="1:9" x14ac:dyDescent="0.35">
      <c r="A1411" s="2" t="str">
        <f t="shared" si="227"/>
        <v>MARATHON</v>
      </c>
      <c r="B1411" s="2" t="str">
        <f t="shared" si="228"/>
        <v>CITY OF WAUSAU</v>
      </c>
      <c r="C1411" s="2" t="s">
        <v>2551</v>
      </c>
      <c r="D1411" s="2" t="str">
        <f>CLEAN("3700-40-52")</f>
        <v>3700-40-52</v>
      </c>
      <c r="E1411" s="3" t="str">
        <f>CLEAN("C WAUSAU  GRAND AVE SIGNAL RETROFIT")</f>
        <v>C WAUSAU  GRAND AVE SIGNAL RETROFIT</v>
      </c>
      <c r="F1411" s="3" t="str">
        <f>CLEAN("BUS 51/GRAND AT THOMAS STREET")</f>
        <v>BUS 51/GRAND AT THOMAS STREET</v>
      </c>
      <c r="G1411" s="3" t="str">
        <f>CLEAN("ITS/DESIGN/STANDALONE PROGRAM")</f>
        <v>ITS/DESIGN/STANDALONE PROGRAM</v>
      </c>
      <c r="H1411" s="2" t="str">
        <f t="shared" si="229"/>
        <v>STH B05</v>
      </c>
      <c r="I1411" s="2" t="str">
        <f t="shared" si="230"/>
        <v>305</v>
      </c>
    </row>
    <row r="1412" spans="1:9" x14ac:dyDescent="0.35">
      <c r="A1412" s="2" t="str">
        <f t="shared" si="227"/>
        <v>MARATHON</v>
      </c>
      <c r="B1412" s="2" t="str">
        <f t="shared" si="228"/>
        <v>CITY OF WAUSAU</v>
      </c>
      <c r="C1412" s="2" t="s">
        <v>2550</v>
      </c>
      <c r="D1412" s="2" t="str">
        <f>CLEAN("3700-40-54")</f>
        <v>3700-40-54</v>
      </c>
      <c r="E1412" s="3" t="str">
        <f>CLEAN("C WAUSAU  1ST AVE SIGNAL RETROFIT")</f>
        <v>C WAUSAU  1ST AVE SIGNAL RETROFIT</v>
      </c>
      <c r="F1412" s="3" t="str">
        <f>CLEAN("BUS 51/1ST AVENUE AT BRIDGE STREET")</f>
        <v>BUS 51/1ST AVENUE AT BRIDGE STREET</v>
      </c>
      <c r="G1412" s="3" t="str">
        <f>CLEAN("ITS/DESIGN/STANDALONE PROGRAM")</f>
        <v>ITS/DESIGN/STANDALONE PROGRAM</v>
      </c>
      <c r="H1412" s="2" t="str">
        <f t="shared" si="229"/>
        <v>STH B05</v>
      </c>
      <c r="I1412" s="2" t="str">
        <f t="shared" si="230"/>
        <v>305</v>
      </c>
    </row>
    <row r="1413" spans="1:9" x14ac:dyDescent="0.35">
      <c r="A1413" s="2" t="str">
        <f t="shared" si="227"/>
        <v>MARATHON</v>
      </c>
      <c r="B1413" s="2" t="str">
        <f t="shared" si="228"/>
        <v>CITY OF WAUSAU</v>
      </c>
      <c r="C1413" s="2" t="s">
        <v>2556</v>
      </c>
      <c r="D1413" s="2" t="str">
        <f>CLEAN("3700-40-56")</f>
        <v>3700-40-56</v>
      </c>
      <c r="E1413" s="3" t="str">
        <f>CLEAN("C WAUSAU  6TH ST SIGNAL RETROFIT")</f>
        <v>C WAUSAU  6TH ST SIGNAL RETROFIT</v>
      </c>
      <c r="F1413" s="3" t="str">
        <f>CLEAN("STH 52/6TH STREET AND BRIDGE STREET")</f>
        <v>STH 52/6TH STREET AND BRIDGE STREET</v>
      </c>
      <c r="G1413" s="3" t="str">
        <f>CLEAN("ITS/DESIGN/STANDALONE PROGRAM")</f>
        <v>ITS/DESIGN/STANDALONE PROGRAM</v>
      </c>
      <c r="H1413" s="2" t="str">
        <f>CLEAN("STH 052")</f>
        <v>STH 052</v>
      </c>
      <c r="I1413" s="2" t="str">
        <f t="shared" si="230"/>
        <v>305</v>
      </c>
    </row>
    <row r="1414" spans="1:9" x14ac:dyDescent="0.35">
      <c r="A1414" s="2" t="str">
        <f t="shared" si="227"/>
        <v>MARATHON</v>
      </c>
      <c r="B1414" s="2" t="str">
        <f t="shared" si="228"/>
        <v>CITY OF WAUSAU</v>
      </c>
      <c r="C1414" s="2" t="s">
        <v>2555</v>
      </c>
      <c r="D1414" s="2" t="str">
        <f>CLEAN("3700-40-58")</f>
        <v>3700-40-58</v>
      </c>
      <c r="E1414" s="3" t="str">
        <f>CLEAN("C WAUSAU  5TH ST SIGNAL RETROFIT")</f>
        <v>C WAUSAU  5TH ST SIGNAL RETROFIT</v>
      </c>
      <c r="F1414" s="3" t="str">
        <f>CLEAN("STH 52/5TH STREET AND BRIDGE STREET")</f>
        <v>STH 52/5TH STREET AND BRIDGE STREET</v>
      </c>
      <c r="G1414" s="3" t="str">
        <f>CLEAN("ITS/DESIGN/STANDALONE PROGRAM")</f>
        <v>ITS/DESIGN/STANDALONE PROGRAM</v>
      </c>
      <c r="H1414" s="2" t="str">
        <f>CLEAN("STH 052")</f>
        <v>STH 052</v>
      </c>
      <c r="I1414" s="2" t="str">
        <f t="shared" si="230"/>
        <v>305</v>
      </c>
    </row>
    <row r="1415" spans="1:9" x14ac:dyDescent="0.35">
      <c r="A1415" s="2" t="str">
        <f t="shared" si="227"/>
        <v>MARATHON</v>
      </c>
      <c r="B1415" s="2" t="str">
        <f t="shared" si="228"/>
        <v>CITY OF WAUSAU</v>
      </c>
      <c r="C1415" s="2" t="s">
        <v>1919</v>
      </c>
      <c r="D1415" s="2" t="str">
        <f>CLEAN("6999-00-01")</f>
        <v>6999-00-01</v>
      </c>
      <c r="E1415" s="3" t="str">
        <f>CLEAN("C WAUSAU  EAST WAUSAU AVENUE")</f>
        <v>C WAUSAU  EAST WAUSAU AVENUE</v>
      </c>
      <c r="F1415" s="3" t="str">
        <f>CLEAN("N 6TH STREET TO N 18TH STREET")</f>
        <v>N 6TH STREET TO N 18TH STREET</v>
      </c>
      <c r="G1415" s="3" t="str">
        <f>CLEAN("DESIGN/FULL PSE/PVRPLA")</f>
        <v>DESIGN/FULL PSE/PVRPLA</v>
      </c>
      <c r="H1415" s="2" t="str">
        <f>CLEAN("STH 052")</f>
        <v>STH 052</v>
      </c>
      <c r="I1415" s="2" t="str">
        <f>CLEAN("303")</f>
        <v>303</v>
      </c>
    </row>
    <row r="1416" spans="1:9" x14ac:dyDescent="0.35">
      <c r="A1416" s="2" t="str">
        <f t="shared" si="227"/>
        <v>MARATHON</v>
      </c>
      <c r="B1416" s="2" t="str">
        <f t="shared" si="228"/>
        <v>CITY OF WAUSAU</v>
      </c>
      <c r="C1416" s="2" t="s">
        <v>1715</v>
      </c>
      <c r="D1416" s="2" t="str">
        <f>CLEAN("6999-00-16")</f>
        <v>6999-00-16</v>
      </c>
      <c r="E1416" s="3" t="str">
        <f>CLEAN("C WAUSAU  WEST WAUSAU AVENUE")</f>
        <v>C WAUSAU  WEST WAUSAU AVENUE</v>
      </c>
      <c r="F1416" s="3" t="str">
        <f>CLEAN("STEVENS DRIVE TO NORTH 10TH AVENUE")</f>
        <v>STEVENS DRIVE TO NORTH 10TH AVENUE</v>
      </c>
      <c r="G1416" s="3" t="str">
        <f>CLEAN("DESIGN OVERSITE/RECONSTRUCT")</f>
        <v>DESIGN OVERSITE/RECONSTRUCT</v>
      </c>
      <c r="H1416" s="2" t="str">
        <f>CLEAN("LOC STR")</f>
        <v>LOC STR</v>
      </c>
      <c r="I1416" s="2" t="str">
        <f>CLEAN("206")</f>
        <v>206</v>
      </c>
    </row>
    <row r="1417" spans="1:9" x14ac:dyDescent="0.35">
      <c r="A1417" s="2" t="str">
        <f t="shared" si="227"/>
        <v>MARATHON</v>
      </c>
      <c r="B1417" s="2" t="str">
        <f t="shared" si="228"/>
        <v>CITY OF WAUSAU</v>
      </c>
      <c r="C1417" s="2" t="s">
        <v>778</v>
      </c>
      <c r="D1417" s="2" t="str">
        <f>CLEAN("6999-00-76")</f>
        <v>6999-00-76</v>
      </c>
      <c r="E1417" s="3" t="str">
        <f>CLEAN("C WAUSAU  WEST WAUSAU AVENUE")</f>
        <v>C WAUSAU  WEST WAUSAU AVENUE</v>
      </c>
      <c r="F1417" s="3" t="str">
        <f>CLEAN("STEVENS DRIVE TO NORTH 10TH AVENUE")</f>
        <v>STEVENS DRIVE TO NORTH 10TH AVENUE</v>
      </c>
      <c r="G1417" s="3" t="str">
        <f>CLEAN("CONST/RECONSTRUCT")</f>
        <v>CONST/RECONSTRUCT</v>
      </c>
      <c r="H1417" s="2" t="str">
        <f>CLEAN("LOC STR")</f>
        <v>LOC STR</v>
      </c>
      <c r="I1417" s="2" t="str">
        <f>CLEAN("206")</f>
        <v>206</v>
      </c>
    </row>
    <row r="1418" spans="1:9" x14ac:dyDescent="0.35">
      <c r="A1418" s="2" t="str">
        <f t="shared" si="227"/>
        <v>MARATHON</v>
      </c>
      <c r="B1418" s="2" t="str">
        <f t="shared" si="228"/>
        <v>CITY OF WAUSAU</v>
      </c>
      <c r="C1418" s="2" t="s">
        <v>774</v>
      </c>
      <c r="D1418" s="2" t="str">
        <f>CLEAN("6999-09-72")</f>
        <v>6999-09-72</v>
      </c>
      <c r="E1418" s="3" t="str">
        <f>CLEAN("C WAUSAU  STEWART AVENUE")</f>
        <v>C WAUSAU  STEWART AVENUE</v>
      </c>
      <c r="F1418" s="3" t="str">
        <f>CLEAN("S 72ND AVENUE TO S 48TH AVENUE")</f>
        <v>S 72ND AVENUE TO S 48TH AVENUE</v>
      </c>
      <c r="G1418" s="3" t="str">
        <f>CLEAN("CONST/RECONSTRUCT")</f>
        <v>CONST/RECONSTRUCT</v>
      </c>
      <c r="H1418" s="2" t="str">
        <f>CLEAN("LOC STR")</f>
        <v>LOC STR</v>
      </c>
      <c r="I1418" s="2" t="str">
        <f>CLEAN("206")</f>
        <v>206</v>
      </c>
    </row>
    <row r="1419" spans="1:9" x14ac:dyDescent="0.35">
      <c r="A1419" s="2" t="str">
        <f t="shared" si="227"/>
        <v>MARATHON</v>
      </c>
      <c r="B1419" s="2" t="str">
        <f t="shared" si="228"/>
        <v>CITY OF WAUSAU</v>
      </c>
      <c r="C1419" s="2" t="s">
        <v>2020</v>
      </c>
      <c r="D1419" s="2" t="str">
        <f>CLEAN("6999-17-02")</f>
        <v>6999-17-02</v>
      </c>
      <c r="E1419" s="3" t="str">
        <f>CLEAN("STH 52 - USH 51")</f>
        <v>STH 52 - USH 51</v>
      </c>
      <c r="F1419" s="3" t="str">
        <f>CLEAN("STEWART AVENUE TO MERRILL AVENUE")</f>
        <v>STEWART AVENUE TO MERRILL AVENUE</v>
      </c>
      <c r="G1419" s="3" t="str">
        <f>CLEAN("DESIGN/FULL PSE/RESURFACE")</f>
        <v>DESIGN/FULL PSE/RESURFACE</v>
      </c>
      <c r="H1419" s="2" t="str">
        <f>CLEAN("BUS 051")</f>
        <v>BUS 051</v>
      </c>
      <c r="I1419" s="2" t="str">
        <f>CLEAN("303")</f>
        <v>303</v>
      </c>
    </row>
    <row r="1420" spans="1:9" x14ac:dyDescent="0.35">
      <c r="A1420" s="2" t="str">
        <f t="shared" si="227"/>
        <v>MARATHON</v>
      </c>
      <c r="B1420" s="2" t="str">
        <f t="shared" si="228"/>
        <v>CITY OF WAUSAU</v>
      </c>
      <c r="C1420" s="2" t="s">
        <v>2286</v>
      </c>
      <c r="D1420" s="2" t="str">
        <f>CLEAN("6999-18-11")</f>
        <v>6999-18-11</v>
      </c>
      <c r="E1420" s="3" t="str">
        <f>CLEAN("BUSINESS CAMPUS TRAIL E/W CONNECTOR")</f>
        <v>BUSINESS CAMPUS TRAIL E/W CONNECTOR</v>
      </c>
      <c r="F1420" s="3" t="str">
        <f>CLEAN("84TH AVENUE TO 72ND AVENUE")</f>
        <v>84TH AVENUE TO 72ND AVENUE</v>
      </c>
      <c r="G1420" s="3" t="str">
        <f>CLEAN("DESIGN/TAP/FULL PSE/MISC")</f>
        <v>DESIGN/TAP/FULL PSE/MISC</v>
      </c>
      <c r="H1420" s="2" t="str">
        <f>CLEAN("NON HWY")</f>
        <v>NON HWY</v>
      </c>
      <c r="I1420" s="2" t="str">
        <f>CLEAN("290")</f>
        <v>290</v>
      </c>
    </row>
    <row r="1421" spans="1:9" x14ac:dyDescent="0.35">
      <c r="A1421" s="2" t="str">
        <f t="shared" si="227"/>
        <v>MARATHON</v>
      </c>
      <c r="B1421" s="2" t="str">
        <f t="shared" si="228"/>
        <v>CITY OF WAUSAU</v>
      </c>
      <c r="C1421" s="2" t="s">
        <v>1062</v>
      </c>
      <c r="D1421" s="2" t="str">
        <f>CLEAN("6999-18-81")</f>
        <v>6999-18-81</v>
      </c>
      <c r="E1421" s="3" t="str">
        <f>CLEAN("BUSINESS CAMPUS TRAIL E/W CONNECTOR")</f>
        <v>BUSINESS CAMPUS TRAIL E/W CONNECTOR</v>
      </c>
      <c r="F1421" s="3" t="str">
        <f>CLEAN("84TH AVENUE TO 72ND AVENUE")</f>
        <v>84TH AVENUE TO 72ND AVENUE</v>
      </c>
      <c r="G1421" s="3" t="str">
        <f>CLEAN("CONST/TAP/MISC")</f>
        <v>CONST/TAP/MISC</v>
      </c>
      <c r="H1421" s="2" t="str">
        <f>CLEAN("NON HWY")</f>
        <v>NON HWY</v>
      </c>
      <c r="I1421" s="2" t="str">
        <f>CLEAN("290")</f>
        <v>290</v>
      </c>
    </row>
    <row r="1422" spans="1:9" x14ac:dyDescent="0.35">
      <c r="A1422" s="2" t="str">
        <f t="shared" si="227"/>
        <v>MARATHON</v>
      </c>
      <c r="B1422" s="2" t="str">
        <f t="shared" si="228"/>
        <v>CITY OF WAUSAU</v>
      </c>
      <c r="C1422" s="2" t="s">
        <v>538</v>
      </c>
      <c r="D1422" s="2" t="str">
        <f>CLEAN("6999-18-84")</f>
        <v>6999-18-84</v>
      </c>
      <c r="E1422" s="3" t="str">
        <f>CLEAN("WAUSAU LED STREETLIGHT CONVERSION")</f>
        <v>WAUSAU LED STREETLIGHT CONVERSION</v>
      </c>
      <c r="F1422" s="3" t="str">
        <f>CLEAN("VARIOUS STREET LOCATIONS")</f>
        <v>VARIOUS STREET LOCATIONS</v>
      </c>
      <c r="G1422" s="3" t="str">
        <f>CLEAN("CONST/CRP/MISC")</f>
        <v>CONST/CRP/MISC</v>
      </c>
      <c r="H1422" s="2" t="str">
        <f>CLEAN("LOC STR")</f>
        <v>LOC STR</v>
      </c>
      <c r="I1422" s="2" t="str">
        <f>CLEAN("206")</f>
        <v>206</v>
      </c>
    </row>
    <row r="1423" spans="1:9" x14ac:dyDescent="0.35">
      <c r="A1423" s="2" t="str">
        <f t="shared" si="227"/>
        <v>MARATHON</v>
      </c>
      <c r="B1423" s="2" t="str">
        <f t="shared" si="228"/>
        <v>CITY OF WAUSAU</v>
      </c>
      <c r="C1423" s="2" t="s">
        <v>1061</v>
      </c>
      <c r="D1423" s="2" t="str">
        <f>CLEAN("6999-18-89")</f>
        <v>6999-18-89</v>
      </c>
      <c r="E1423" s="3" t="str">
        <f>CLEAN("72ND AVENUE TRAIL SOUTH EXTENSION")</f>
        <v>72ND AVENUE TRAIL SOUTH EXTENSION</v>
      </c>
      <c r="F1423" s="3" t="str">
        <f>CLEAN("SUNNYVALE PARK TO STEWART AVENUE")</f>
        <v>SUNNYVALE PARK TO STEWART AVENUE</v>
      </c>
      <c r="G1423" s="3" t="str">
        <f>CLEAN("CONST/TAP")</f>
        <v>CONST/TAP</v>
      </c>
      <c r="H1423" s="2" t="str">
        <f>CLEAN("NON HWY")</f>
        <v>NON HWY</v>
      </c>
      <c r="I1423" s="2" t="str">
        <f>CLEAN("290")</f>
        <v>290</v>
      </c>
    </row>
    <row r="1424" spans="1:9" x14ac:dyDescent="0.35">
      <c r="A1424" s="2" t="str">
        <f t="shared" ref="A1424:A1469" si="231">CLEAN("MILWAUKEE")</f>
        <v>MILWAUKEE</v>
      </c>
      <c r="B1424" s="2" t="str">
        <f t="shared" ref="B1424:B1453" si="232">CLEAN("CITY OF WAUWATOSA")</f>
        <v>CITY OF WAUWATOSA</v>
      </c>
      <c r="C1424" s="2" t="s">
        <v>3134</v>
      </c>
      <c r="D1424" s="2" t="str">
        <f>CLEAN("2030-10-22")</f>
        <v>2030-10-22</v>
      </c>
      <c r="E1424" s="3" t="str">
        <f>CLEAN("C WAUWATOSA  N MAYFAIR RD/LOVERS LN")</f>
        <v>C WAUWATOSA  N MAYFAIR RD/LOVERS LN</v>
      </c>
      <c r="F1424" s="3" t="str">
        <f>CLEAN("W BURLEIGH ST TO W SILVER SPRING DR")</f>
        <v>W BURLEIGH ST TO W SILVER SPRING DR</v>
      </c>
      <c r="G1424" s="3" t="str">
        <f>CLEAN("RE/BRIDGE REPLACEMENT")</f>
        <v>RE/BRIDGE REPLACEMENT</v>
      </c>
      <c r="H1424" s="2" t="str">
        <f>CLEAN("STH 100")</f>
        <v>STH 100</v>
      </c>
      <c r="I1424" s="2" t="str">
        <f>CLEAN("303")</f>
        <v>303</v>
      </c>
    </row>
    <row r="1425" spans="1:9" x14ac:dyDescent="0.35">
      <c r="A1425" s="2" t="str">
        <f t="shared" si="231"/>
        <v>MILWAUKEE</v>
      </c>
      <c r="B1425" s="2" t="str">
        <f t="shared" si="232"/>
        <v>CITY OF WAUWATOSA</v>
      </c>
      <c r="C1425" s="2" t="s">
        <v>3054</v>
      </c>
      <c r="D1425" s="2" t="str">
        <f>CLEAN("2135-04-01")</f>
        <v>2135-04-01</v>
      </c>
      <c r="E1425" s="3" t="str">
        <f>CLEAN("W NORTH AVENUE")</f>
        <v>W NORTH AVENUE</v>
      </c>
      <c r="F1425" s="3" t="str">
        <f>CLEAN("MAYFAIR ROAD TO N 95TH STREET")</f>
        <v>MAYFAIR ROAD TO N 95TH STREET</v>
      </c>
      <c r="G1425" s="3" t="str">
        <f>CLEAN("PE-FULL PS&amp;E-RECST")</f>
        <v>PE-FULL PS&amp;E-RECST</v>
      </c>
      <c r="H1425" s="2" t="str">
        <f>CLEAN("LOC STR")</f>
        <v>LOC STR</v>
      </c>
      <c r="I1425" s="2" t="str">
        <f>CLEAN("206")</f>
        <v>206</v>
      </c>
    </row>
    <row r="1426" spans="1:9" x14ac:dyDescent="0.35">
      <c r="A1426" s="2" t="str">
        <f t="shared" si="231"/>
        <v>MILWAUKEE</v>
      </c>
      <c r="B1426" s="2" t="str">
        <f t="shared" si="232"/>
        <v>CITY OF WAUWATOSA</v>
      </c>
      <c r="C1426" s="2" t="s">
        <v>2687</v>
      </c>
      <c r="D1426" s="2" t="str">
        <f>CLEAN("2135-05-01")</f>
        <v>2135-05-01</v>
      </c>
      <c r="E1426" s="3" t="str">
        <f>CLEAN("C WAUWATOSA  NORTH AVE")</f>
        <v>C WAUWATOSA  NORTH AVE</v>
      </c>
      <c r="F1426" s="3" t="str">
        <f>CLEAN("MENOMONEE RIVER BRIDGE B40-998")</f>
        <v>MENOMONEE RIVER BRIDGE B40-998</v>
      </c>
      <c r="G1426" s="3" t="str">
        <f>CLEAN("PE/FULL PS&amp;E ROW/BRIDGE REPLACEMENT")</f>
        <v>PE/FULL PS&amp;E ROW/BRIDGE REPLACEMENT</v>
      </c>
      <c r="H1426" s="2" t="str">
        <f>CLEAN("LOC STR")</f>
        <v>LOC STR</v>
      </c>
      <c r="I1426" s="2" t="str">
        <f>CLEAN("205")</f>
        <v>205</v>
      </c>
    </row>
    <row r="1427" spans="1:9" x14ac:dyDescent="0.35">
      <c r="A1427" s="2" t="str">
        <f t="shared" si="231"/>
        <v>MILWAUKEE</v>
      </c>
      <c r="B1427" s="2" t="str">
        <f t="shared" si="232"/>
        <v>CITY OF WAUWATOSA</v>
      </c>
      <c r="C1427" s="2" t="s">
        <v>2698</v>
      </c>
      <c r="D1427" s="2" t="str">
        <f>CLEAN("2135-05-02")</f>
        <v>2135-05-02</v>
      </c>
      <c r="E1427" s="3" t="str">
        <f>CLEAN("C WAUWATOSA  NORTH AVE")</f>
        <v>C WAUWATOSA  NORTH AVE</v>
      </c>
      <c r="F1427" s="3" t="str">
        <f>CLEAN("MENOMONEE RIVER BRIDGE B40-999")</f>
        <v>MENOMONEE RIVER BRIDGE B40-999</v>
      </c>
      <c r="G1427" s="3" t="str">
        <f>CLEAN("PE/FULL PS&amp;E ROW/BRRPL")</f>
        <v>PE/FULL PS&amp;E ROW/BRRPL</v>
      </c>
      <c r="H1427" s="2" t="str">
        <f>CLEAN("LOC STR")</f>
        <v>LOC STR</v>
      </c>
      <c r="I1427" s="2" t="str">
        <f>CLEAN("205")</f>
        <v>205</v>
      </c>
    </row>
    <row r="1428" spans="1:9" x14ac:dyDescent="0.35">
      <c r="A1428" s="2" t="str">
        <f t="shared" si="231"/>
        <v>MILWAUKEE</v>
      </c>
      <c r="B1428" s="2" t="str">
        <f t="shared" si="232"/>
        <v>CITY OF WAUWATOSA</v>
      </c>
      <c r="C1428" s="2" t="s">
        <v>2819</v>
      </c>
      <c r="D1428" s="2" t="str">
        <f>CLEAN("2160-06-01")</f>
        <v>2160-06-01</v>
      </c>
      <c r="E1428" s="3" t="str">
        <f>CLEAN("GLENVIEW AVE - WAUWATOSA AVE")</f>
        <v>GLENVIEW AVE - WAUWATOSA AVE</v>
      </c>
      <c r="F1428" s="3" t="str">
        <f>CLEAN("WISCONSIN AV TO 0.05MI N OF CENTER")</f>
        <v>WISCONSIN AV TO 0.05MI N OF CENTER</v>
      </c>
      <c r="G1428" s="3" t="str">
        <f>CLEAN("PE/FULL PS/ROW  PVRPLA")</f>
        <v>PE/FULL PS/ROW  PVRPLA</v>
      </c>
      <c r="H1428" s="2" t="str">
        <f>CLEAN("STH 181")</f>
        <v>STH 181</v>
      </c>
      <c r="I1428" s="2" t="str">
        <f>CLEAN("303")</f>
        <v>303</v>
      </c>
    </row>
    <row r="1429" spans="1:9" x14ac:dyDescent="0.35">
      <c r="A1429" s="2" t="str">
        <f t="shared" si="231"/>
        <v>MILWAUKEE</v>
      </c>
      <c r="B1429" s="2" t="str">
        <f t="shared" si="232"/>
        <v>CITY OF WAUWATOSA</v>
      </c>
      <c r="C1429" s="2" t="s">
        <v>2772</v>
      </c>
      <c r="D1429" s="2" t="str">
        <f>CLEAN("2200-10-01")</f>
        <v>2200-10-01</v>
      </c>
      <c r="E1429" s="3" t="str">
        <f>CLEAN("C WAUWATOSA/MILWAUKEE  BLUEMOUND RD")</f>
        <v>C WAUWATOSA/MILWAUKEE  BLUEMOUND RD</v>
      </c>
      <c r="F1429" s="3" t="str">
        <f>CLEAN("N 106TH ST TO N 66TH ST")</f>
        <v>N 106TH ST TO N 66TH ST</v>
      </c>
      <c r="G1429" s="3" t="str">
        <f>CLEAN("PE/FULL PS&amp;E/RESURFACE")</f>
        <v>PE/FULL PS&amp;E/RESURFACE</v>
      </c>
      <c r="H1429" s="2" t="str">
        <f>CLEAN("USH 018")</f>
        <v>USH 018</v>
      </c>
      <c r="I1429" s="2" t="str">
        <f>CLEAN("303")</f>
        <v>303</v>
      </c>
    </row>
    <row r="1430" spans="1:9" x14ac:dyDescent="0.35">
      <c r="A1430" s="2" t="str">
        <f t="shared" si="231"/>
        <v>MILWAUKEE</v>
      </c>
      <c r="B1430" s="2" t="str">
        <f t="shared" si="232"/>
        <v>CITY OF WAUWATOSA</v>
      </c>
      <c r="C1430" s="2" t="s">
        <v>3005</v>
      </c>
      <c r="D1430" s="2" t="str">
        <f>CLEAN("2994-06-02")</f>
        <v>2994-06-02</v>
      </c>
      <c r="E1430" s="3" t="str">
        <f>CLEAN("C WAUWATOSA  LIGHTING CONVERSION")</f>
        <v>C WAUWATOSA  LIGHTING CONVERSION</v>
      </c>
      <c r="F1430" s="3" t="str">
        <f>CLEAN("VARIOUS CITY STREETS")</f>
        <v>VARIOUS CITY STREETS</v>
      </c>
      <c r="G1430" s="3" t="str">
        <f>CLEAN("PE/STATE REVIEW ONLY")</f>
        <v>PE/STATE REVIEW ONLY</v>
      </c>
      <c r="H1430" s="2" t="str">
        <f>CLEAN("VAR HWY")</f>
        <v>VAR HWY</v>
      </c>
      <c r="I1430" s="2" t="str">
        <f>CLEAN("206")</f>
        <v>206</v>
      </c>
    </row>
    <row r="1431" spans="1:9" x14ac:dyDescent="0.35">
      <c r="A1431" s="2" t="str">
        <f t="shared" si="231"/>
        <v>MILWAUKEE</v>
      </c>
      <c r="B1431" s="2" t="str">
        <f t="shared" si="232"/>
        <v>CITY OF WAUWATOSA</v>
      </c>
      <c r="C1431" s="2" t="s">
        <v>2852</v>
      </c>
      <c r="D1431" s="2" t="str">
        <f>CLEAN("2994-06-03")</f>
        <v>2994-06-03</v>
      </c>
      <c r="E1431" s="3" t="str">
        <f>CLEAN("C WAUWATOSA  ATMS")</f>
        <v>C WAUWATOSA  ATMS</v>
      </c>
      <c r="F1431" s="3" t="str">
        <f>CLEAN("CITY WIDE")</f>
        <v>CITY WIDE</v>
      </c>
      <c r="G1431" s="3" t="str">
        <f>CLEAN("PE/FULL PSE/MISC")</f>
        <v>PE/FULL PSE/MISC</v>
      </c>
      <c r="H1431" s="2" t="str">
        <f>CLEAN("NON HWY")</f>
        <v>NON HWY</v>
      </c>
      <c r="I1431" s="2" t="str">
        <f>CLEAN("211")</f>
        <v>211</v>
      </c>
    </row>
    <row r="1432" spans="1:9" x14ac:dyDescent="0.35">
      <c r="A1432" s="2" t="str">
        <f t="shared" si="231"/>
        <v>MILWAUKEE</v>
      </c>
      <c r="B1432" s="2" t="str">
        <f t="shared" si="232"/>
        <v>CITY OF WAUWATOSA</v>
      </c>
      <c r="C1432" s="2" t="s">
        <v>2853</v>
      </c>
      <c r="D1432" s="2" t="str">
        <f>CLEAN("2994-07-01")</f>
        <v>2994-07-01</v>
      </c>
      <c r="E1432" s="3" t="str">
        <f>CLEAN("C WAUWATOSA  FIBER INTERCONNECT")</f>
        <v>C WAUWATOSA  FIBER INTERCONNECT</v>
      </c>
      <c r="F1432" s="3" t="str">
        <f>CLEAN("CITY WIDE")</f>
        <v>CITY WIDE</v>
      </c>
      <c r="G1432" s="3" t="str">
        <f>CLEAN("PE/FULL PSE/MISC")</f>
        <v>PE/FULL PSE/MISC</v>
      </c>
      <c r="H1432" s="2" t="str">
        <f>CLEAN("NON HWY")</f>
        <v>NON HWY</v>
      </c>
      <c r="I1432" s="2" t="str">
        <f>CLEAN("211")</f>
        <v>211</v>
      </c>
    </row>
    <row r="1433" spans="1:9" x14ac:dyDescent="0.35">
      <c r="A1433" s="2" t="str">
        <f t="shared" si="231"/>
        <v>MILWAUKEE</v>
      </c>
      <c r="B1433" s="2" t="str">
        <f t="shared" si="232"/>
        <v>CITY OF WAUWATOSA</v>
      </c>
      <c r="C1433" s="2" t="s">
        <v>2854</v>
      </c>
      <c r="D1433" s="2" t="str">
        <f>CLEAN("2994-07-02")</f>
        <v>2994-07-02</v>
      </c>
      <c r="E1433" s="3" t="str">
        <f>CLEAN("C WAUWATOSA  SIGNAL CONTROLLERS")</f>
        <v>C WAUWATOSA  SIGNAL CONTROLLERS</v>
      </c>
      <c r="F1433" s="3" t="str">
        <f>CLEAN("CITY WIDE")</f>
        <v>CITY WIDE</v>
      </c>
      <c r="G1433" s="3" t="str">
        <f>CLEAN("PE/FULL PSE/MISC")</f>
        <v>PE/FULL PSE/MISC</v>
      </c>
      <c r="H1433" s="2" t="str">
        <f>CLEAN("NON HWY")</f>
        <v>NON HWY</v>
      </c>
      <c r="I1433" s="2" t="str">
        <f>CLEAN("211")</f>
        <v>211</v>
      </c>
    </row>
    <row r="1434" spans="1:9" x14ac:dyDescent="0.35">
      <c r="A1434" s="2" t="str">
        <f t="shared" si="231"/>
        <v>MILWAUKEE</v>
      </c>
      <c r="B1434" s="2" t="str">
        <f t="shared" si="232"/>
        <v>CITY OF WAUWATOSA</v>
      </c>
      <c r="C1434" s="2" t="s">
        <v>2522</v>
      </c>
      <c r="D1434" s="2" t="str">
        <f>CLEAN("1000-78-00")</f>
        <v>1000-78-00</v>
      </c>
      <c r="E1434" s="3" t="str">
        <f>CLEAN("RAIL CORRIDOR SAFETY STUDY GRANT")</f>
        <v>RAIL CORRIDOR SAFETY STUDY GRANT</v>
      </c>
      <c r="F1434" s="3" t="str">
        <f>CLEAN("C WAUWATOSA &amp; C WAUKESHA")</f>
        <v>C WAUWATOSA &amp; C WAUKESHA</v>
      </c>
      <c r="G1434" s="3" t="str">
        <f>CLEAN("EX-RAIL/BIKE/PED AT GRADE STUDY")</f>
        <v>EX-RAIL/BIKE/PED AT GRADE STUDY</v>
      </c>
      <c r="H1434" s="2" t="str">
        <f>CLEAN("NON HWY")</f>
        <v>NON HWY</v>
      </c>
      <c r="I1434" s="2" t="str">
        <f>CLEAN("207")</f>
        <v>207</v>
      </c>
    </row>
    <row r="1435" spans="1:9" x14ac:dyDescent="0.35">
      <c r="A1435" s="2" t="str">
        <f t="shared" si="231"/>
        <v>MILWAUKEE</v>
      </c>
      <c r="B1435" s="2" t="str">
        <f t="shared" si="232"/>
        <v>CITY OF WAUWATOSA</v>
      </c>
      <c r="C1435" s="2" t="s">
        <v>802</v>
      </c>
      <c r="D1435" s="2" t="str">
        <f>CLEAN("1060-33-84")</f>
        <v>1060-33-84</v>
      </c>
      <c r="E1435" s="3" t="str">
        <f>CLEAN("ZOO IC  USH 45")</f>
        <v>ZOO IC  USH 45</v>
      </c>
      <c r="F1435" s="3" t="str">
        <f>CLEAN("SWAN BLVD TO BURLEIGH STREET")</f>
        <v>SWAN BLVD TO BURLEIGH STREET</v>
      </c>
      <c r="G1435" s="3" t="str">
        <f>CLEAN("CONST/RECONSTRUCT W/ ADDL LANES")</f>
        <v>CONST/RECONSTRUCT W/ ADDL LANES</v>
      </c>
      <c r="H1435" s="2" t="str">
        <f>CLEAN("USH 045")</f>
        <v>USH 045</v>
      </c>
      <c r="I1435" s="2" t="str">
        <f>CLEAN("301ZO")</f>
        <v>301ZO</v>
      </c>
    </row>
    <row r="1436" spans="1:9" x14ac:dyDescent="0.35">
      <c r="A1436" s="2" t="str">
        <f t="shared" si="231"/>
        <v>MILWAUKEE</v>
      </c>
      <c r="B1436" s="2" t="str">
        <f t="shared" si="232"/>
        <v>CITY OF WAUWATOSA</v>
      </c>
      <c r="C1436" s="2" t="s">
        <v>585</v>
      </c>
      <c r="D1436" s="2" t="str">
        <f>CLEAN("1060-34-77")</f>
        <v>1060-34-77</v>
      </c>
      <c r="E1436" s="3" t="str">
        <f>CLEAN("ZOO IC  NORTH AVENUE")</f>
        <v>ZOO IC  NORTH AVENUE</v>
      </c>
      <c r="F1436" s="3" t="str">
        <f>CLEAN("118TH STREET TO 116TH STREET")</f>
        <v>118TH STREET TO 116TH STREET</v>
      </c>
      <c r="G1436" s="3" t="str">
        <f>CLEAN("CONST/INTERSECTION MODIFICATION")</f>
        <v>CONST/INTERSECTION MODIFICATION</v>
      </c>
      <c r="H1436" s="2" t="str">
        <f>CLEAN("LOC STR")</f>
        <v>LOC STR</v>
      </c>
      <c r="I1436" s="2" t="str">
        <f>CLEAN("301ZO")</f>
        <v>301ZO</v>
      </c>
    </row>
    <row r="1437" spans="1:9" x14ac:dyDescent="0.35">
      <c r="A1437" s="2" t="str">
        <f t="shared" si="231"/>
        <v>MILWAUKEE</v>
      </c>
      <c r="B1437" s="2" t="str">
        <f t="shared" si="232"/>
        <v>CITY OF WAUWATOSA</v>
      </c>
      <c r="C1437" s="2" t="s">
        <v>3425</v>
      </c>
      <c r="D1437" s="2" t="str">
        <f>CLEAN("1060-41-49")</f>
        <v>1060-41-49</v>
      </c>
      <c r="E1437" s="3" t="str">
        <f>CLEAN("ZOO IC  USH45 TOSA WATER UTIL")</f>
        <v>ZOO IC  USH45 TOSA WATER UTIL</v>
      </c>
      <c r="F1437" s="3" t="str">
        <f>CLEAN("SWAN BLVD TO BURLEIGH STREET")</f>
        <v>SWAN BLVD TO BURLEIGH STREET</v>
      </c>
      <c r="G1437" s="3" t="str">
        <f>CLEAN("UTL/TOSA WATER UTIL")</f>
        <v>UTL/TOSA WATER UTIL</v>
      </c>
      <c r="H1437" s="2" t="str">
        <f>CLEAN("USH 045")</f>
        <v>USH 045</v>
      </c>
      <c r="I1437" s="2" t="str">
        <f>CLEAN("301ZO")</f>
        <v>301ZO</v>
      </c>
    </row>
    <row r="1438" spans="1:9" x14ac:dyDescent="0.35">
      <c r="A1438" s="2" t="str">
        <f t="shared" si="231"/>
        <v>MILWAUKEE</v>
      </c>
      <c r="B1438" s="2" t="str">
        <f t="shared" si="232"/>
        <v>CITY OF WAUWATOSA</v>
      </c>
      <c r="C1438" s="2" t="s">
        <v>954</v>
      </c>
      <c r="D1438" s="2" t="str">
        <f>CLEAN("2030-09-70")</f>
        <v>2030-09-70</v>
      </c>
      <c r="E1438" s="3" t="str">
        <f>CLEAN("MAYFAIR ROAD  CITY MILWAUKEE")</f>
        <v>MAYFAIR ROAD  CITY MILWAUKEE</v>
      </c>
      <c r="F1438" s="3" t="str">
        <f>CLEAN("BURLEIGH ST TO SILVER SPRING DR")</f>
        <v>BURLEIGH ST TO SILVER SPRING DR</v>
      </c>
      <c r="G1438" s="3" t="str">
        <f>CLEAN("CONST/RESURFACE")</f>
        <v>CONST/RESURFACE</v>
      </c>
      <c r="H1438" s="2" t="str">
        <f>CLEAN("STH 100")</f>
        <v>STH 100</v>
      </c>
      <c r="I1438" s="2" t="str">
        <f>CLEAN("303")</f>
        <v>303</v>
      </c>
    </row>
    <row r="1439" spans="1:9" x14ac:dyDescent="0.35">
      <c r="A1439" s="2" t="str">
        <f t="shared" si="231"/>
        <v>MILWAUKEE</v>
      </c>
      <c r="B1439" s="2" t="str">
        <f t="shared" si="232"/>
        <v>CITY OF WAUWATOSA</v>
      </c>
      <c r="C1439" s="2" t="s">
        <v>471</v>
      </c>
      <c r="D1439" s="2" t="str">
        <f>CLEAN("2030-10-71")</f>
        <v>2030-10-71</v>
      </c>
      <c r="E1439" s="3" t="str">
        <f>CLEAN("N MAYFAIR RD/N LOVERS LN")</f>
        <v>N MAYFAIR RD/N LOVERS LN</v>
      </c>
      <c r="F1439" s="3" t="str">
        <f>CLEAN("W BURLEIGH ST TO W SILVER SPRING DR")</f>
        <v>W BURLEIGH ST TO W SILVER SPRING DR</v>
      </c>
      <c r="G1439" s="3" t="str">
        <f>CLEAN("CONST/BRIDGE REPLACEMENT")</f>
        <v>CONST/BRIDGE REPLACEMENT</v>
      </c>
      <c r="H1439" s="2" t="str">
        <f>CLEAN("STH 100")</f>
        <v>STH 100</v>
      </c>
      <c r="I1439" s="2" t="str">
        <f>CLEAN("303")</f>
        <v>303</v>
      </c>
    </row>
    <row r="1440" spans="1:9" x14ac:dyDescent="0.35">
      <c r="A1440" s="2" t="str">
        <f t="shared" si="231"/>
        <v>MILWAUKEE</v>
      </c>
      <c r="B1440" s="2" t="str">
        <f t="shared" si="232"/>
        <v>CITY OF WAUWATOSA</v>
      </c>
      <c r="C1440" s="2" t="s">
        <v>797</v>
      </c>
      <c r="D1440" s="2" t="str">
        <f>CLEAN("2135-04-71")</f>
        <v>2135-04-71</v>
      </c>
      <c r="E1440" s="3" t="str">
        <f>CLEAN("C WAUWATOSA W NORTH AVENUE")</f>
        <v>C WAUWATOSA W NORTH AVENUE</v>
      </c>
      <c r="F1440" s="3" t="str">
        <f>CLEAN("MAYFAIR ROAD TO MET-TO-WEE LN")</f>
        <v>MAYFAIR ROAD TO MET-TO-WEE LN</v>
      </c>
      <c r="G1440" s="3" t="str">
        <f>CLEAN("CONST/RECONSTRUCT NO ADD'L LANES")</f>
        <v>CONST/RECONSTRUCT NO ADD'L LANES</v>
      </c>
      <c r="H1440" s="2" t="str">
        <f>CLEAN("LOC STR")</f>
        <v>LOC STR</v>
      </c>
      <c r="I1440" s="2" t="str">
        <f>CLEAN("206")</f>
        <v>206</v>
      </c>
    </row>
    <row r="1441" spans="1:9" x14ac:dyDescent="0.35">
      <c r="A1441" s="2" t="str">
        <f t="shared" si="231"/>
        <v>MILWAUKEE</v>
      </c>
      <c r="B1441" s="2" t="str">
        <f t="shared" si="232"/>
        <v>CITY OF WAUWATOSA</v>
      </c>
      <c r="C1441" s="2" t="s">
        <v>1107</v>
      </c>
      <c r="D1441" s="2" t="str">
        <f>CLEAN("2135-04-72")</f>
        <v>2135-04-72</v>
      </c>
      <c r="E1441" s="3" t="str">
        <f>CLEAN("C WAUWATOSA W NORTH AVENUE")</f>
        <v>C WAUWATOSA W NORTH AVENUE</v>
      </c>
      <c r="F1441" s="3" t="str">
        <f>CLEAN("MAYFAIR ROAD TO MET-TO-WEE LN")</f>
        <v>MAYFAIR ROAD TO MET-TO-WEE LN</v>
      </c>
      <c r="G1441" s="3" t="str">
        <f>CLEAN("CONST/WATERMAIN")</f>
        <v>CONST/WATERMAIN</v>
      </c>
      <c r="H1441" s="2" t="str">
        <f>CLEAN("LOC STR")</f>
        <v>LOC STR</v>
      </c>
      <c r="I1441" s="2" t="str">
        <f>CLEAN("206")</f>
        <v>206</v>
      </c>
    </row>
    <row r="1442" spans="1:9" x14ac:dyDescent="0.35">
      <c r="A1442" s="2" t="str">
        <f t="shared" si="231"/>
        <v>MILWAUKEE</v>
      </c>
      <c r="B1442" s="2" t="str">
        <f t="shared" si="232"/>
        <v>CITY OF WAUWATOSA</v>
      </c>
      <c r="C1442" s="2" t="s">
        <v>2754</v>
      </c>
      <c r="D1442" s="2" t="str">
        <f>CLEAN("2135-15-00")</f>
        <v>2135-15-00</v>
      </c>
      <c r="E1442" s="3" t="str">
        <f>CLEAN("C WAUWATOSA  NORTH AVENUE")</f>
        <v>C WAUWATOSA  NORTH AVENUE</v>
      </c>
      <c r="F1442" s="3" t="str">
        <f>CLEAN("N 95TH ST TO N 73RD ST")</f>
        <v>N 95TH ST TO N 73RD ST</v>
      </c>
      <c r="G1442" s="3" t="str">
        <f>CLEAN("PE/FULL PS&amp;E/PVRPLA")</f>
        <v>PE/FULL PS&amp;E/PVRPLA</v>
      </c>
      <c r="H1442" s="2" t="str">
        <f>CLEAN("LOC STR")</f>
        <v>LOC STR</v>
      </c>
      <c r="I1442" s="2" t="str">
        <f>CLEAN("206")</f>
        <v>206</v>
      </c>
    </row>
    <row r="1443" spans="1:9" x14ac:dyDescent="0.35">
      <c r="A1443" s="2" t="str">
        <f t="shared" si="231"/>
        <v>MILWAUKEE</v>
      </c>
      <c r="B1443" s="2" t="str">
        <f t="shared" si="232"/>
        <v>CITY OF WAUWATOSA</v>
      </c>
      <c r="C1443" s="2" t="s">
        <v>2678</v>
      </c>
      <c r="D1443" s="2" t="str">
        <f>CLEAN("2165-03-00")</f>
        <v>2165-03-00</v>
      </c>
      <c r="E1443" s="3" t="str">
        <f>CLEAN("C WAUWATOSA/MILWAUKEE GLENVIEW 84TH")</f>
        <v>C WAUWATOSA/MILWAUKEE GLENVIEW 84TH</v>
      </c>
      <c r="F1443" s="3" t="str">
        <f>CLEAN("HONEY CREEK-0.1 MILE S BLUEMOUND RD")</f>
        <v>HONEY CREEK-0.1 MILE S BLUEMOUND RD</v>
      </c>
      <c r="G1443" s="3" t="str">
        <f>CLEAN("PE/FULL PS &amp; E ROW/RSRF25")</f>
        <v>PE/FULL PS &amp; E ROW/RSRF25</v>
      </c>
      <c r="H1443" s="2" t="str">
        <f>CLEAN("STH 181")</f>
        <v>STH 181</v>
      </c>
      <c r="I1443" s="2" t="str">
        <f>CLEAN("303")</f>
        <v>303</v>
      </c>
    </row>
    <row r="1444" spans="1:9" x14ac:dyDescent="0.35">
      <c r="A1444" s="2" t="str">
        <f t="shared" si="231"/>
        <v>MILWAUKEE</v>
      </c>
      <c r="B1444" s="2" t="str">
        <f t="shared" si="232"/>
        <v>CITY OF WAUWATOSA</v>
      </c>
      <c r="C1444" s="2" t="s">
        <v>2646</v>
      </c>
      <c r="D1444" s="2" t="str">
        <f>CLEAN("2190-10-00")</f>
        <v>2190-10-00</v>
      </c>
      <c r="E1444" s="3" t="str">
        <f>CLEAN("W WISCONSIN AVENUE")</f>
        <v>W WISCONSIN AVENUE</v>
      </c>
      <c r="F1444" s="3" t="str">
        <f>CLEAN("BRIDGE OVER HONEY CREEK P-40-776")</f>
        <v>BRIDGE OVER HONEY CREEK P-40-776</v>
      </c>
      <c r="G1444" s="3" t="str">
        <f>CLEAN("PE/BRIDGE REPLACEMENT")</f>
        <v>PE/BRIDGE REPLACEMENT</v>
      </c>
      <c r="H1444" s="2" t="str">
        <f>CLEAN("LOC STR")</f>
        <v>LOC STR</v>
      </c>
      <c r="I1444" s="2" t="str">
        <f>CLEAN("205")</f>
        <v>205</v>
      </c>
    </row>
    <row r="1445" spans="1:9" x14ac:dyDescent="0.35">
      <c r="A1445" s="2" t="str">
        <f t="shared" si="231"/>
        <v>MILWAUKEE</v>
      </c>
      <c r="B1445" s="2" t="str">
        <f t="shared" si="232"/>
        <v>CITY OF WAUWATOSA</v>
      </c>
      <c r="C1445" s="2" t="s">
        <v>421</v>
      </c>
      <c r="D1445" s="2" t="str">
        <f>CLEAN("2190-10-70")</f>
        <v>2190-10-70</v>
      </c>
      <c r="E1445" s="3" t="str">
        <f>CLEAN("C WAUWATOSA W WISCONSIN AVENUE")</f>
        <v>C WAUWATOSA W WISCONSIN AVENUE</v>
      </c>
      <c r="F1445" s="3" t="str">
        <f>CLEAN("BRIDGE OVER HONEY CREEK P-40-776")</f>
        <v>BRIDGE OVER HONEY CREEK P-40-776</v>
      </c>
      <c r="G1445" s="3" t="str">
        <f>CLEAN("CONST/BRIDGE REPLACEMENT")</f>
        <v>CONST/BRIDGE REPLACEMENT</v>
      </c>
      <c r="H1445" s="2" t="str">
        <f>CLEAN("LOC STR")</f>
        <v>LOC STR</v>
      </c>
      <c r="I1445" s="2" t="str">
        <f>CLEAN("205")</f>
        <v>205</v>
      </c>
    </row>
    <row r="1446" spans="1:9" x14ac:dyDescent="0.35">
      <c r="A1446" s="2" t="str">
        <f t="shared" si="231"/>
        <v>MILWAUKEE</v>
      </c>
      <c r="B1446" s="2" t="str">
        <f t="shared" si="232"/>
        <v>CITY OF WAUWATOSA</v>
      </c>
      <c r="C1446" s="2" t="s">
        <v>1039</v>
      </c>
      <c r="D1446" s="2" t="str">
        <f>CLEAN("2190-10-71")</f>
        <v>2190-10-71</v>
      </c>
      <c r="E1446" s="3" t="str">
        <f>CLEAN("C WAUWATOSA W WISCONSIN AVENUE")</f>
        <v>C WAUWATOSA W WISCONSIN AVENUE</v>
      </c>
      <c r="F1446" s="3" t="str">
        <f>CLEAN("BRIDGE OVER HONEY CREEK P-40-776")</f>
        <v>BRIDGE OVER HONEY CREEK P-40-776</v>
      </c>
      <c r="G1446" s="3" t="str">
        <f>CLEAN("CONST/SEWER/WATERMAIN")</f>
        <v>CONST/SEWER/WATERMAIN</v>
      </c>
      <c r="H1446" s="2" t="str">
        <f>CLEAN("LOC STR")</f>
        <v>LOC STR</v>
      </c>
      <c r="I1446" s="2" t="str">
        <f>CLEAN("205")</f>
        <v>205</v>
      </c>
    </row>
    <row r="1447" spans="1:9" x14ac:dyDescent="0.35">
      <c r="A1447" s="2" t="str">
        <f t="shared" si="231"/>
        <v>MILWAUKEE</v>
      </c>
      <c r="B1447" s="2" t="str">
        <f t="shared" si="232"/>
        <v>CITY OF WAUWATOSA</v>
      </c>
      <c r="C1447" s="2" t="s">
        <v>2629</v>
      </c>
      <c r="D1447" s="2" t="str">
        <f>CLEAN("2994-00-02")</f>
        <v>2994-00-02</v>
      </c>
      <c r="E1447" s="3" t="str">
        <f>CLEAN("WAUWATOSA BIKE SHARE III")</f>
        <v>WAUWATOSA BIKE SHARE III</v>
      </c>
      <c r="F1447" s="3" t="str">
        <f>CLEAN("VARIOUS LOCATIONS")</f>
        <v>VARIOUS LOCATIONS</v>
      </c>
      <c r="G1447" s="3" t="str">
        <f>CLEAN("PE/BIKE/PED")</f>
        <v>PE/BIKE/PED</v>
      </c>
      <c r="H1447" s="2" t="str">
        <f>CLEAN("NON HWY")</f>
        <v>NON HWY</v>
      </c>
      <c r="I1447" s="2" t="str">
        <f>CLEAN("290")</f>
        <v>290</v>
      </c>
    </row>
    <row r="1448" spans="1:9" x14ac:dyDescent="0.35">
      <c r="A1448" s="2" t="str">
        <f t="shared" si="231"/>
        <v>MILWAUKEE</v>
      </c>
      <c r="B1448" s="2" t="str">
        <f t="shared" si="232"/>
        <v>CITY OF WAUWATOSA</v>
      </c>
      <c r="C1448" s="2" t="s">
        <v>370</v>
      </c>
      <c r="D1448" s="2" t="str">
        <f>CLEAN("2994-00-72")</f>
        <v>2994-00-72</v>
      </c>
      <c r="E1448" s="3" t="str">
        <f>CLEAN("WAUWATOSA BIKE SHARE III")</f>
        <v>WAUWATOSA BIKE SHARE III</v>
      </c>
      <c r="F1448" s="3" t="str">
        <f>CLEAN("VARIOUS LOCATIONS")</f>
        <v>VARIOUS LOCATIONS</v>
      </c>
      <c r="G1448" s="3" t="str">
        <f>CLEAN("CONST/BIKE/PED")</f>
        <v>CONST/BIKE/PED</v>
      </c>
      <c r="H1448" s="2" t="str">
        <f>CLEAN("NON HWY")</f>
        <v>NON HWY</v>
      </c>
      <c r="I1448" s="2" t="str">
        <f>CLEAN("290")</f>
        <v>290</v>
      </c>
    </row>
    <row r="1449" spans="1:9" x14ac:dyDescent="0.35">
      <c r="A1449" s="2" t="str">
        <f t="shared" si="231"/>
        <v>MILWAUKEE</v>
      </c>
      <c r="B1449" s="2" t="str">
        <f t="shared" si="232"/>
        <v>CITY OF WAUWATOSA</v>
      </c>
      <c r="C1449" s="2" t="s">
        <v>369</v>
      </c>
      <c r="D1449" s="2" t="str">
        <f>CLEAN("2994-00-82")</f>
        <v>2994-00-82</v>
      </c>
      <c r="E1449" s="3" t="str">
        <f>CLEAN("WAUWATOSA BIKE SHARE III")</f>
        <v>WAUWATOSA BIKE SHARE III</v>
      </c>
      <c r="F1449" s="3" t="str">
        <f>CLEAN("BIKE/STATION PROCUREMENT")</f>
        <v>BIKE/STATION PROCUREMENT</v>
      </c>
      <c r="G1449" s="3" t="str">
        <f>CLEAN("CONST/BIKE/PED")</f>
        <v>CONST/BIKE/PED</v>
      </c>
      <c r="H1449" s="2" t="str">
        <f>CLEAN("NON HWY")</f>
        <v>NON HWY</v>
      </c>
      <c r="I1449" s="2" t="str">
        <f>CLEAN("290")</f>
        <v>290</v>
      </c>
    </row>
    <row r="1450" spans="1:9" x14ac:dyDescent="0.35">
      <c r="A1450" s="2" t="str">
        <f t="shared" si="231"/>
        <v>MILWAUKEE</v>
      </c>
      <c r="B1450" s="2" t="str">
        <f t="shared" si="232"/>
        <v>CITY OF WAUWATOSA</v>
      </c>
      <c r="C1450" s="2" t="s">
        <v>702</v>
      </c>
      <c r="D1450" s="2" t="str">
        <f>CLEAN("2994-06-83")</f>
        <v>2994-06-83</v>
      </c>
      <c r="E1450" s="3" t="str">
        <f>CLEAN("C WAUWATOSA  ATMS")</f>
        <v>C WAUWATOSA  ATMS</v>
      </c>
      <c r="F1450" s="3" t="str">
        <f>CLEAN("CITY WIDE")</f>
        <v>CITY WIDE</v>
      </c>
      <c r="G1450" s="3" t="str">
        <f>CLEAN("CONST/PROCUREMENT/ATMS")</f>
        <v>CONST/PROCUREMENT/ATMS</v>
      </c>
      <c r="H1450" s="2" t="str">
        <f>CLEAN("NON HWY")</f>
        <v>NON HWY</v>
      </c>
      <c r="I1450" s="2" t="str">
        <f>CLEAN("211")</f>
        <v>211</v>
      </c>
    </row>
    <row r="1451" spans="1:9" x14ac:dyDescent="0.35">
      <c r="A1451" s="2" t="str">
        <f t="shared" si="231"/>
        <v>MILWAUKEE</v>
      </c>
      <c r="B1451" s="2" t="str">
        <f t="shared" si="232"/>
        <v>CITY OF WAUWATOSA</v>
      </c>
      <c r="C1451" s="2" t="s">
        <v>2937</v>
      </c>
      <c r="D1451" s="2" t="str">
        <f>CLEAN("2994-08-00")</f>
        <v>2994-08-00</v>
      </c>
      <c r="E1451" s="3" t="str">
        <f>CLEAN("C WAUWATOSA  LIGHTING CONVERSION")</f>
        <v>C WAUWATOSA  LIGHTING CONVERSION</v>
      </c>
      <c r="F1451" s="3" t="str">
        <f>CLEAN("VARIOUS LOCATIONS PER APPLICATION")</f>
        <v>VARIOUS LOCATIONS PER APPLICATION</v>
      </c>
      <c r="G1451" s="3" t="str">
        <f>CLEAN("PE/PULL PS/MISC")</f>
        <v>PE/PULL PS/MISC</v>
      </c>
      <c r="H1451" s="2" t="str">
        <f>CLEAN("VAR HWY")</f>
        <v>VAR HWY</v>
      </c>
      <c r="I1451" s="2" t="str">
        <f>CLEAN("206")</f>
        <v>206</v>
      </c>
    </row>
    <row r="1452" spans="1:9" x14ac:dyDescent="0.35">
      <c r="A1452" s="2" t="str">
        <f t="shared" si="231"/>
        <v>MILWAUKEE</v>
      </c>
      <c r="B1452" s="2" t="str">
        <f t="shared" si="232"/>
        <v>CITY OF WAUWATOSA</v>
      </c>
      <c r="C1452" s="2" t="s">
        <v>1058</v>
      </c>
      <c r="D1452" s="2" t="str">
        <f>CLEAN("2994-08-70")</f>
        <v>2994-08-70</v>
      </c>
      <c r="E1452" s="3" t="str">
        <f>CLEAN("C WAUWATOSA  LIGHTING CONVERSION")</f>
        <v>C WAUWATOSA  LIGHTING CONVERSION</v>
      </c>
      <c r="F1452" s="3" t="str">
        <f>CLEAN("VARIOUS LOCATIONS PER APPLICATION")</f>
        <v>VARIOUS LOCATIONS PER APPLICATION</v>
      </c>
      <c r="G1452" s="3" t="str">
        <f>CLEAN("CONST/STREET LIGHTING")</f>
        <v>CONST/STREET LIGHTING</v>
      </c>
      <c r="H1452" s="2" t="str">
        <f>CLEAN("VAR HWY")</f>
        <v>VAR HWY</v>
      </c>
      <c r="I1452" s="2" t="str">
        <f>CLEAN("206")</f>
        <v>206</v>
      </c>
    </row>
    <row r="1453" spans="1:9" x14ac:dyDescent="0.35">
      <c r="A1453" s="2" t="str">
        <f t="shared" si="231"/>
        <v>MILWAUKEE</v>
      </c>
      <c r="B1453" s="2" t="str">
        <f t="shared" si="232"/>
        <v>CITY OF WAUWATOSA</v>
      </c>
      <c r="C1453" s="2" t="s">
        <v>2733</v>
      </c>
      <c r="D1453" s="2" t="str">
        <f>CLEAN("2994-23-00")</f>
        <v>2994-23-00</v>
      </c>
      <c r="E1453" s="3" t="str">
        <f>CLEAN("WISCONSIN AVENUE MULTI-USE PATH")</f>
        <v>WISCONSIN AVENUE MULTI-USE PATH</v>
      </c>
      <c r="F1453" s="3" t="str">
        <f>CLEAN("HONEYCREEK-MAYFAIR WISCONSIN-POTTER")</f>
        <v>HONEYCREEK-MAYFAIR WISCONSIN-POTTER</v>
      </c>
      <c r="G1453" s="3" t="str">
        <f>CLEAN("PE/FULL PS&amp;E/MISC")</f>
        <v>PE/FULL PS&amp;E/MISC</v>
      </c>
      <c r="H1453" s="2" t="str">
        <f>CLEAN("NON HWY")</f>
        <v>NON HWY</v>
      </c>
      <c r="I1453" s="2" t="str">
        <f>CLEAN("290")</f>
        <v>290</v>
      </c>
    </row>
    <row r="1454" spans="1:9" x14ac:dyDescent="0.35">
      <c r="A1454" s="2" t="str">
        <f t="shared" si="231"/>
        <v>MILWAUKEE</v>
      </c>
      <c r="B1454" s="2" t="str">
        <f t="shared" ref="B1454:B1469" si="233">CLEAN("CITY OF WEST ALLIS")</f>
        <v>CITY OF WEST ALLIS</v>
      </c>
      <c r="C1454" s="2" t="s">
        <v>2941</v>
      </c>
      <c r="D1454" s="2" t="str">
        <f>CLEAN("2110-03-01")</f>
        <v>2110-03-01</v>
      </c>
      <c r="E1454" s="3" t="str">
        <f>CLEAN("W LINCOLN AVENUE")</f>
        <v>W LINCOLN AVENUE</v>
      </c>
      <c r="F1454" s="3" t="str">
        <f>CLEAN("S 93RD ST TO S 96TH ST")</f>
        <v>S 93RD ST TO S 96TH ST</v>
      </c>
      <c r="G1454" s="3" t="str">
        <f>CLEAN("PE/RECONSTRUCT")</f>
        <v>PE/RECONSTRUCT</v>
      </c>
      <c r="H1454" s="2" t="str">
        <f>CLEAN("LOC STR")</f>
        <v>LOC STR</v>
      </c>
      <c r="I1454" s="2" t="str">
        <f>CLEAN("206")</f>
        <v>206</v>
      </c>
    </row>
    <row r="1455" spans="1:9" x14ac:dyDescent="0.35">
      <c r="A1455" s="2" t="str">
        <f t="shared" si="231"/>
        <v>MILWAUKEE</v>
      </c>
      <c r="B1455" s="2" t="str">
        <f t="shared" si="233"/>
        <v>CITY OF WEST ALLIS</v>
      </c>
      <c r="C1455" s="2" t="s">
        <v>2759</v>
      </c>
      <c r="D1455" s="2" t="str">
        <f>CLEAN("2230-05-02")</f>
        <v>2230-05-02</v>
      </c>
      <c r="E1455" s="3" t="str">
        <f>CLEAN("C WEST ALLIS  GREENFIELD AVE")</f>
        <v>C WEST ALLIS  GREENFIELD AVE</v>
      </c>
      <c r="F1455" s="3" t="str">
        <f>CLEAN("S 84TH ST TO S 76TH ST")</f>
        <v>S 84TH ST TO S 76TH ST</v>
      </c>
      <c r="G1455" s="3" t="str">
        <f>CLEAN("PE/FULL PS&amp;E/PVRPLA")</f>
        <v>PE/FULL PS&amp;E/PVRPLA</v>
      </c>
      <c r="H1455" s="2" t="str">
        <f>CLEAN("STH 059")</f>
        <v>STH 059</v>
      </c>
      <c r="I1455" s="2" t="str">
        <f>CLEAN("303")</f>
        <v>303</v>
      </c>
    </row>
    <row r="1456" spans="1:9" x14ac:dyDescent="0.35">
      <c r="A1456" s="2" t="str">
        <f t="shared" si="231"/>
        <v>MILWAUKEE</v>
      </c>
      <c r="B1456" s="2" t="str">
        <f t="shared" si="233"/>
        <v>CITY OF WEST ALLIS</v>
      </c>
      <c r="C1456" s="2" t="s">
        <v>2758</v>
      </c>
      <c r="D1456" s="2" t="str">
        <f>CLEAN("2230-05-03")</f>
        <v>2230-05-03</v>
      </c>
      <c r="E1456" s="3" t="str">
        <f>CLEAN("C WEST ALLIS  GREENFIELD AVE")</f>
        <v>C WEST ALLIS  GREENFIELD AVE</v>
      </c>
      <c r="F1456" s="3" t="str">
        <f>CLEAN("S 76TH ST TO S 70TH ST")</f>
        <v>S 76TH ST TO S 70TH ST</v>
      </c>
      <c r="G1456" s="3" t="str">
        <f>CLEAN("PE/FULL PS&amp;E/PVRPLA")</f>
        <v>PE/FULL PS&amp;E/PVRPLA</v>
      </c>
      <c r="H1456" s="2" t="str">
        <f>CLEAN("STH 059")</f>
        <v>STH 059</v>
      </c>
      <c r="I1456" s="2" t="str">
        <f>CLEAN("303")</f>
        <v>303</v>
      </c>
    </row>
    <row r="1457" spans="1:9" x14ac:dyDescent="0.35">
      <c r="A1457" s="2" t="str">
        <f t="shared" si="231"/>
        <v>MILWAUKEE</v>
      </c>
      <c r="B1457" s="2" t="str">
        <f t="shared" si="233"/>
        <v>CITY OF WEST ALLIS</v>
      </c>
      <c r="C1457" s="2" t="s">
        <v>2757</v>
      </c>
      <c r="D1457" s="2" t="str">
        <f>CLEAN("2230-05-04")</f>
        <v>2230-05-04</v>
      </c>
      <c r="E1457" s="3" t="str">
        <f>CLEAN("C WEST ALLIS  GREENFIELD  NATIONAL")</f>
        <v>C WEST ALLIS  GREENFIELD  NATIONAL</v>
      </c>
      <c r="F1457" s="3" t="str">
        <f>CLEAN("S 70TH ST TO S 56TH ST")</f>
        <v>S 70TH ST TO S 56TH ST</v>
      </c>
      <c r="G1457" s="3" t="str">
        <f>CLEAN("PE/FULL PS&amp;E/PVRPLA")</f>
        <v>PE/FULL PS&amp;E/PVRPLA</v>
      </c>
      <c r="H1457" s="2" t="str">
        <f>CLEAN("STH 059")</f>
        <v>STH 059</v>
      </c>
      <c r="I1457" s="2" t="str">
        <f>CLEAN("303")</f>
        <v>303</v>
      </c>
    </row>
    <row r="1458" spans="1:9" x14ac:dyDescent="0.35">
      <c r="A1458" s="2" t="str">
        <f t="shared" si="231"/>
        <v>MILWAUKEE</v>
      </c>
      <c r="B1458" s="2" t="str">
        <f t="shared" si="233"/>
        <v>CITY OF WEST ALLIS</v>
      </c>
      <c r="C1458" s="2" t="s">
        <v>950</v>
      </c>
      <c r="D1458" s="2" t="str">
        <f>CLEAN("1100-05-73")</f>
        <v>1100-05-73</v>
      </c>
      <c r="E1458" s="3" t="str">
        <f>CLEAN("IH 41 AIRPORT FREEWAY")</f>
        <v>IH 41 AIRPORT FREEWAY</v>
      </c>
      <c r="F1458" s="3" t="str">
        <f>CLEAN("84TH STREET TO N LINCOLN AVE")</f>
        <v>84TH STREET TO N LINCOLN AVE</v>
      </c>
      <c r="G1458" s="3" t="str">
        <f>CLEAN("CONST/RESURFACE")</f>
        <v>CONST/RESURFACE</v>
      </c>
      <c r="H1458" s="2" t="str">
        <f>CLEAN("IH  041")</f>
        <v>IH  041</v>
      </c>
      <c r="I1458" s="2" t="str">
        <f>CLEAN("303")</f>
        <v>303</v>
      </c>
    </row>
    <row r="1459" spans="1:9" x14ac:dyDescent="0.35">
      <c r="A1459" s="2" t="str">
        <f t="shared" si="231"/>
        <v>MILWAUKEE</v>
      </c>
      <c r="B1459" s="2" t="str">
        <f t="shared" si="233"/>
        <v>CITY OF WEST ALLIS</v>
      </c>
      <c r="C1459" s="2" t="s">
        <v>832</v>
      </c>
      <c r="D1459" s="2" t="str">
        <f>CLEAN("2110-03-71")</f>
        <v>2110-03-71</v>
      </c>
      <c r="E1459" s="3" t="str">
        <f>CLEAN("C WEST ALLIS  W LINCOLN AVENUE")</f>
        <v>C WEST ALLIS  W LINCOLN AVENUE</v>
      </c>
      <c r="F1459" s="3" t="str">
        <f>CLEAN("S 93RD ST TO S 96TH ST")</f>
        <v>S 93RD ST TO S 96TH ST</v>
      </c>
      <c r="G1459" s="3" t="str">
        <f>CLEAN("CONST/RECST")</f>
        <v>CONST/RECST</v>
      </c>
      <c r="H1459" s="2" t="str">
        <f>CLEAN("LOC STR")</f>
        <v>LOC STR</v>
      </c>
      <c r="I1459" s="2" t="str">
        <f>CLEAN("206")</f>
        <v>206</v>
      </c>
    </row>
    <row r="1460" spans="1:9" x14ac:dyDescent="0.35">
      <c r="A1460" s="2" t="str">
        <f t="shared" si="231"/>
        <v>MILWAUKEE</v>
      </c>
      <c r="B1460" s="2" t="str">
        <f t="shared" si="233"/>
        <v>CITY OF WEST ALLIS</v>
      </c>
      <c r="C1460" s="2" t="s">
        <v>1034</v>
      </c>
      <c r="D1460" s="2" t="str">
        <f>CLEAN("2110-03-72")</f>
        <v>2110-03-72</v>
      </c>
      <c r="E1460" s="3" t="str">
        <f>CLEAN("C WEST ALLIS  W LINCOLN AVENUE")</f>
        <v>C WEST ALLIS  W LINCOLN AVENUE</v>
      </c>
      <c r="F1460" s="3" t="str">
        <f>CLEAN("S 93RD ST TO S 96TH ST")</f>
        <v>S 93RD ST TO S 96TH ST</v>
      </c>
      <c r="G1460" s="3" t="str">
        <f>CLEAN("CONST/SEWER &amp; WATER")</f>
        <v>CONST/SEWER &amp; WATER</v>
      </c>
      <c r="H1460" s="2" t="str">
        <f>CLEAN("LOC STR")</f>
        <v>LOC STR</v>
      </c>
      <c r="I1460" s="2" t="str">
        <f>CLEAN("206")</f>
        <v>206</v>
      </c>
    </row>
    <row r="1461" spans="1:9" x14ac:dyDescent="0.35">
      <c r="A1461" s="2" t="str">
        <f t="shared" si="231"/>
        <v>MILWAUKEE</v>
      </c>
      <c r="B1461" s="2" t="str">
        <f t="shared" si="233"/>
        <v>CITY OF WEST ALLIS</v>
      </c>
      <c r="C1461" s="2" t="s">
        <v>576</v>
      </c>
      <c r="D1461" s="2" t="str">
        <f>CLEAN("2160-05-71")</f>
        <v>2160-05-71</v>
      </c>
      <c r="E1461" s="3" t="str">
        <f>CLEAN("S 76TH STREET")</f>
        <v>S 76TH STREET</v>
      </c>
      <c r="F1461" s="3" t="str">
        <f>CLEAN("INTERSECTION WITH W BECHER STREET")</f>
        <v>INTERSECTION WITH W BECHER STREET</v>
      </c>
      <c r="G1461" s="3" t="str">
        <f>CLEAN("CONST/HSIP/TRAFFICSIGNALS/RESURFACE")</f>
        <v>CONST/HSIP/TRAFFICSIGNALS/RESURFACE</v>
      </c>
      <c r="H1461" s="2" t="str">
        <f>CLEAN("LOC STR")</f>
        <v>LOC STR</v>
      </c>
      <c r="I1461" s="2" t="str">
        <f>CLEAN("206")</f>
        <v>206</v>
      </c>
    </row>
    <row r="1462" spans="1:9" x14ac:dyDescent="0.35">
      <c r="A1462" s="2" t="str">
        <f t="shared" si="231"/>
        <v>MILWAUKEE</v>
      </c>
      <c r="B1462" s="2" t="str">
        <f t="shared" si="233"/>
        <v>CITY OF WEST ALLIS</v>
      </c>
      <c r="C1462" s="2" t="s">
        <v>2761</v>
      </c>
      <c r="D1462" s="2" t="str">
        <f>CLEAN("2165-05-00")</f>
        <v>2165-05-00</v>
      </c>
      <c r="E1462" s="3" t="str">
        <f>CLEAN("C WEST ALLIS/MILWAUKEE  S 84TH ST")</f>
        <v>C WEST ALLIS/MILWAUKEE  S 84TH ST</v>
      </c>
      <c r="F1462" s="3" t="str">
        <f>CLEAN("W GREENFIELD AVE TO W ADLER AVE")</f>
        <v>W GREENFIELD AVE TO W ADLER AVE</v>
      </c>
      <c r="G1462" s="3" t="str">
        <f>CLEAN("PE/FULL PS&amp;E/PVRPLA")</f>
        <v>PE/FULL PS&amp;E/PVRPLA</v>
      </c>
      <c r="H1462" s="2" t="str">
        <f>CLEAN("STH 181")</f>
        <v>STH 181</v>
      </c>
      <c r="I1462" s="2" t="str">
        <f>CLEAN("303")</f>
        <v>303</v>
      </c>
    </row>
    <row r="1463" spans="1:9" x14ac:dyDescent="0.35">
      <c r="A1463" s="2" t="str">
        <f t="shared" si="231"/>
        <v>MILWAUKEE</v>
      </c>
      <c r="B1463" s="2" t="str">
        <f t="shared" si="233"/>
        <v>CITY OF WEST ALLIS</v>
      </c>
      <c r="C1463" s="2" t="s">
        <v>2818</v>
      </c>
      <c r="D1463" s="2" t="str">
        <f>CLEAN("2410-15-00")</f>
        <v>2410-15-00</v>
      </c>
      <c r="E1463" s="3" t="str">
        <f>CLEAN("C WEST ALLIS  W NATIONAL AVENUE")</f>
        <v>C WEST ALLIS  W NATIONAL AVENUE</v>
      </c>
      <c r="F1463" s="3" t="str">
        <f>CLEAN("S 95TH ST TO S 108TH ST")</f>
        <v>S 95TH ST TO S 108TH ST</v>
      </c>
      <c r="G1463" s="3" t="str">
        <f>CLEAN("PE/FULL PS/RECST")</f>
        <v>PE/FULL PS/RECST</v>
      </c>
      <c r="H1463" s="2" t="str">
        <f t="shared" ref="H1463:H1475" si="234">CLEAN("LOC STR")</f>
        <v>LOC STR</v>
      </c>
      <c r="I1463" s="2" t="str">
        <f t="shared" ref="I1463:I1475" si="235">CLEAN("206")</f>
        <v>206</v>
      </c>
    </row>
    <row r="1464" spans="1:9" x14ac:dyDescent="0.35">
      <c r="A1464" s="2" t="str">
        <f t="shared" si="231"/>
        <v>MILWAUKEE</v>
      </c>
      <c r="B1464" s="2" t="str">
        <f t="shared" si="233"/>
        <v>CITY OF WEST ALLIS</v>
      </c>
      <c r="C1464" s="2" t="s">
        <v>834</v>
      </c>
      <c r="D1464" s="2" t="str">
        <f>CLEAN("2410-15-70")</f>
        <v>2410-15-70</v>
      </c>
      <c r="E1464" s="3" t="str">
        <f>CLEAN("C WEST ALLIS  W NATIONAL AVENUE")</f>
        <v>C WEST ALLIS  W NATIONAL AVENUE</v>
      </c>
      <c r="F1464" s="3" t="str">
        <f>CLEAN("S 95TH ST TO S 108TH ST")</f>
        <v>S 95TH ST TO S 108TH ST</v>
      </c>
      <c r="G1464" s="3" t="str">
        <f>CLEAN("CONST/RECST")</f>
        <v>CONST/RECST</v>
      </c>
      <c r="H1464" s="2" t="str">
        <f t="shared" si="234"/>
        <v>LOC STR</v>
      </c>
      <c r="I1464" s="2" t="str">
        <f t="shared" si="235"/>
        <v>206</v>
      </c>
    </row>
    <row r="1465" spans="1:9" x14ac:dyDescent="0.35">
      <c r="A1465" s="2" t="str">
        <f t="shared" si="231"/>
        <v>MILWAUKEE</v>
      </c>
      <c r="B1465" s="2" t="str">
        <f t="shared" si="233"/>
        <v>CITY OF WEST ALLIS</v>
      </c>
      <c r="C1465" s="2" t="s">
        <v>833</v>
      </c>
      <c r="D1465" s="2" t="str">
        <f>CLEAN("2410-15-71")</f>
        <v>2410-15-71</v>
      </c>
      <c r="E1465" s="3" t="str">
        <f>CLEAN("C WEST ALLIS  W NATIONAL AVENUE")</f>
        <v>C WEST ALLIS  W NATIONAL AVENUE</v>
      </c>
      <c r="F1465" s="3" t="str">
        <f>CLEAN("S 95TH ST TO S 108TH ST")</f>
        <v>S 95TH ST TO S 108TH ST</v>
      </c>
      <c r="G1465" s="3" t="str">
        <f>CLEAN("CONST/RECST")</f>
        <v>CONST/RECST</v>
      </c>
      <c r="H1465" s="2" t="str">
        <f t="shared" si="234"/>
        <v>LOC STR</v>
      </c>
      <c r="I1465" s="2" t="str">
        <f t="shared" si="235"/>
        <v>206</v>
      </c>
    </row>
    <row r="1466" spans="1:9" x14ac:dyDescent="0.35">
      <c r="A1466" s="2" t="str">
        <f t="shared" si="231"/>
        <v>MILWAUKEE</v>
      </c>
      <c r="B1466" s="2" t="str">
        <f t="shared" si="233"/>
        <v>CITY OF WEST ALLIS</v>
      </c>
      <c r="C1466" s="2" t="s">
        <v>1009</v>
      </c>
      <c r="D1466" s="2" t="str">
        <f>CLEAN("2525-03-50")</f>
        <v>2525-03-50</v>
      </c>
      <c r="E1466" s="3" t="str">
        <f>CLEAN("C WEST ALLIS W BELOIT ROAD")</f>
        <v>C WEST ALLIS W BELOIT ROAD</v>
      </c>
      <c r="F1466" s="3" t="str">
        <f>CLEAN("UNION PACIFIC RR  17727P  MP 86.00")</f>
        <v>UNION PACIFIC RR  17727P  MP 86.00</v>
      </c>
      <c r="G1466" s="3" t="str">
        <f>CLEAN("CONST/RR CROSSIN SIGNAL")</f>
        <v>CONST/RR CROSSIN SIGNAL</v>
      </c>
      <c r="H1466" s="2" t="str">
        <f t="shared" si="234"/>
        <v>LOC STR</v>
      </c>
      <c r="I1466" s="2" t="str">
        <f t="shared" si="235"/>
        <v>206</v>
      </c>
    </row>
    <row r="1467" spans="1:9" x14ac:dyDescent="0.35">
      <c r="A1467" s="2" t="str">
        <f t="shared" si="231"/>
        <v>MILWAUKEE</v>
      </c>
      <c r="B1467" s="2" t="str">
        <f t="shared" si="233"/>
        <v>CITY OF WEST ALLIS</v>
      </c>
      <c r="C1467" s="2" t="s">
        <v>1012</v>
      </c>
      <c r="D1467" s="2" t="str">
        <f>CLEAN("2525-03-51")</f>
        <v>2525-03-51</v>
      </c>
      <c r="E1467" s="3" t="str">
        <f>CLEAN("C WEST ALLIS W BELOIT ROAD")</f>
        <v>C WEST ALLIS W BELOIT ROAD</v>
      </c>
      <c r="F1467" s="3" t="str">
        <f>CLEAN("UNION PACIFIC RR  177237P  MP 86.00")</f>
        <v>UNION PACIFIC RR  177237P  MP 86.00</v>
      </c>
      <c r="G1467" s="3" t="str">
        <f>CLEAN("CONST/RR CROSSING SURFACE")</f>
        <v>CONST/RR CROSSING SURFACE</v>
      </c>
      <c r="H1467" s="2" t="str">
        <f t="shared" si="234"/>
        <v>LOC STR</v>
      </c>
      <c r="I1467" s="2" t="str">
        <f t="shared" si="235"/>
        <v>206</v>
      </c>
    </row>
    <row r="1468" spans="1:9" x14ac:dyDescent="0.35">
      <c r="A1468" s="2" t="str">
        <f t="shared" si="231"/>
        <v>MILWAUKEE</v>
      </c>
      <c r="B1468" s="2" t="str">
        <f t="shared" si="233"/>
        <v>CITY OF WEST ALLIS</v>
      </c>
      <c r="C1468" s="2" t="s">
        <v>800</v>
      </c>
      <c r="D1468" s="2" t="str">
        <f>CLEAN("2525-03-71")</f>
        <v>2525-03-71</v>
      </c>
      <c r="E1468" s="3" t="str">
        <f>CLEAN("W BELOIT ROAD")</f>
        <v>W BELOIT ROAD</v>
      </c>
      <c r="F1468" s="3" t="str">
        <f>CLEAN("S 60TH STREET TO LINCOLN AVENUE")</f>
        <v>S 60TH STREET TO LINCOLN AVENUE</v>
      </c>
      <c r="G1468" s="3" t="str">
        <f>CLEAN("CONST/RECONSTRUCT NO ADD'L LANES")</f>
        <v>CONST/RECONSTRUCT NO ADD'L LANES</v>
      </c>
      <c r="H1468" s="2" t="str">
        <f t="shared" si="234"/>
        <v>LOC STR</v>
      </c>
      <c r="I1468" s="2" t="str">
        <f t="shared" si="235"/>
        <v>206</v>
      </c>
    </row>
    <row r="1469" spans="1:9" x14ac:dyDescent="0.35">
      <c r="A1469" s="2" t="str">
        <f t="shared" si="231"/>
        <v>MILWAUKEE</v>
      </c>
      <c r="B1469" s="2" t="str">
        <f t="shared" si="233"/>
        <v>CITY OF WEST ALLIS</v>
      </c>
      <c r="C1469" s="2" t="s">
        <v>1384</v>
      </c>
      <c r="D1469" s="2" t="str">
        <f>CLEAN("2525-03-73")</f>
        <v>2525-03-73</v>
      </c>
      <c r="E1469" s="3" t="str">
        <f>CLEAN("C WEST ALLIS  W BELOIT ROAD")</f>
        <v>C WEST ALLIS  W BELOIT ROAD</v>
      </c>
      <c r="F1469" s="3" t="str">
        <f>CLEAN("MOBILE ST -UP RR CROSS")</f>
        <v>MOBILE ST -UP RR CROSS</v>
      </c>
      <c r="G1469" s="3" t="str">
        <f>CLEAN("CONT/RECONSTRUCT  NO ADDL LANES")</f>
        <v>CONT/RECONSTRUCT  NO ADDL LANES</v>
      </c>
      <c r="H1469" s="2" t="str">
        <f t="shared" si="234"/>
        <v>LOC STR</v>
      </c>
      <c r="I1469" s="2" t="str">
        <f t="shared" si="235"/>
        <v>206</v>
      </c>
    </row>
    <row r="1470" spans="1:9" x14ac:dyDescent="0.35">
      <c r="A1470" s="2" t="str">
        <f t="shared" ref="A1470:A1488" si="236">CLEAN("WASHINGTON")</f>
        <v>WASHINGTON</v>
      </c>
      <c r="B1470" s="2" t="str">
        <f t="shared" ref="B1470:B1488" si="237">CLEAN("CITY OF WEST BEND")</f>
        <v>CITY OF WEST BEND</v>
      </c>
      <c r="C1470" s="2" t="s">
        <v>2616</v>
      </c>
      <c r="D1470" s="2" t="str">
        <f>CLEAN("2707-03-02")</f>
        <v>2707-03-02</v>
      </c>
      <c r="E1470" s="3" t="str">
        <f>CLEAN("C WEST BEND  WATER ST")</f>
        <v>C WEST BEND  WATER ST</v>
      </c>
      <c r="F1470" s="3" t="str">
        <f>CLEAN("FOREST AVENUE TO INDIANA AVENUE")</f>
        <v>FOREST AVENUE TO INDIANA AVENUE</v>
      </c>
      <c r="G1470" s="3" t="str">
        <f>CLEAN("PE/ STATE REVIEW ONLY")</f>
        <v>PE/ STATE REVIEW ONLY</v>
      </c>
      <c r="H1470" s="2" t="str">
        <f t="shared" si="234"/>
        <v>LOC STR</v>
      </c>
      <c r="I1470" s="2" t="str">
        <f t="shared" si="235"/>
        <v>206</v>
      </c>
    </row>
    <row r="1471" spans="1:9" x14ac:dyDescent="0.35">
      <c r="A1471" s="2" t="str">
        <f t="shared" si="236"/>
        <v>WASHINGTON</v>
      </c>
      <c r="B1471" s="2" t="str">
        <f t="shared" si="237"/>
        <v>CITY OF WEST BEND</v>
      </c>
      <c r="C1471" s="2" t="s">
        <v>2617</v>
      </c>
      <c r="D1471" s="2" t="str">
        <f>CLEAN("2707-03-04")</f>
        <v>2707-03-04</v>
      </c>
      <c r="E1471" s="3" t="str">
        <f>CLEAN("C WEST BEND  RUSCO DR")</f>
        <v>C WEST BEND  RUSCO DR</v>
      </c>
      <c r="F1471" s="3" t="str">
        <f>CLEAN("S MAIN ST TO RIVER ROAD")</f>
        <v>S MAIN ST TO RIVER ROAD</v>
      </c>
      <c r="G1471" s="3" t="str">
        <f>CLEAN("PE/ STATE REVIEW ONLY")</f>
        <v>PE/ STATE REVIEW ONLY</v>
      </c>
      <c r="H1471" s="2" t="str">
        <f t="shared" si="234"/>
        <v>LOC STR</v>
      </c>
      <c r="I1471" s="2" t="str">
        <f t="shared" si="235"/>
        <v>206</v>
      </c>
    </row>
    <row r="1472" spans="1:9" x14ac:dyDescent="0.35">
      <c r="A1472" s="2" t="str">
        <f t="shared" si="236"/>
        <v>WASHINGTON</v>
      </c>
      <c r="B1472" s="2" t="str">
        <f t="shared" si="237"/>
        <v>CITY OF WEST BEND</v>
      </c>
      <c r="C1472" s="2" t="s">
        <v>2720</v>
      </c>
      <c r="D1472" s="2" t="str">
        <f>CLEAN("2707-05-01")</f>
        <v>2707-05-01</v>
      </c>
      <c r="E1472" s="3" t="str">
        <f>CLEAN("C WEST BEND  S MAIN ST")</f>
        <v>C WEST BEND  S MAIN ST</v>
      </c>
      <c r="F1472" s="3" t="str">
        <f>CLEAN("HUMAR ST TO PROGRESS DR")</f>
        <v>HUMAR ST TO PROGRESS DR</v>
      </c>
      <c r="G1472" s="3" t="str">
        <f>CLEAN("PE/FULL PS&amp;E ROW/RECSTE")</f>
        <v>PE/FULL PS&amp;E ROW/RECSTE</v>
      </c>
      <c r="H1472" s="2" t="str">
        <f t="shared" si="234"/>
        <v>LOC STR</v>
      </c>
      <c r="I1472" s="2" t="str">
        <f t="shared" si="235"/>
        <v>206</v>
      </c>
    </row>
    <row r="1473" spans="1:9" x14ac:dyDescent="0.35">
      <c r="A1473" s="2" t="str">
        <f t="shared" si="236"/>
        <v>WASHINGTON</v>
      </c>
      <c r="B1473" s="2" t="str">
        <f t="shared" si="237"/>
        <v>CITY OF WEST BEND</v>
      </c>
      <c r="C1473" s="2" t="s">
        <v>3153</v>
      </c>
      <c r="D1473" s="2" t="str">
        <f>CLEAN("2707-05-21")</f>
        <v>2707-05-21</v>
      </c>
      <c r="E1473" s="3" t="str">
        <f>CLEAN("C WEST BEND  S MAIN ST")</f>
        <v>C WEST BEND  S MAIN ST</v>
      </c>
      <c r="F1473" s="3" t="str">
        <f>CLEAN("HUMAR ST TO PROGRESS DR")</f>
        <v>HUMAR ST TO PROGRESS DR</v>
      </c>
      <c r="G1473" s="3" t="str">
        <f>CLEAN("RE/RECSTE")</f>
        <v>RE/RECSTE</v>
      </c>
      <c r="H1473" s="2" t="str">
        <f t="shared" si="234"/>
        <v>LOC STR</v>
      </c>
      <c r="I1473" s="2" t="str">
        <f t="shared" si="235"/>
        <v>206</v>
      </c>
    </row>
    <row r="1474" spans="1:9" x14ac:dyDescent="0.35">
      <c r="A1474" s="2" t="str">
        <f t="shared" si="236"/>
        <v>WASHINGTON</v>
      </c>
      <c r="B1474" s="2" t="str">
        <f t="shared" si="237"/>
        <v>CITY OF WEST BEND</v>
      </c>
      <c r="C1474" s="2" t="s">
        <v>3143</v>
      </c>
      <c r="D1474" s="2" t="str">
        <f>CLEAN("2707-06-20")</f>
        <v>2707-06-20</v>
      </c>
      <c r="E1474" s="3" t="str">
        <f>CLEAN("18TH AVENUE")</f>
        <v>18TH AVENUE</v>
      </c>
      <c r="F1474" s="3" t="str">
        <f>CLEAN("VOGT DRIVE TO PARADISE DRIVE")</f>
        <v>VOGT DRIVE TO PARADISE DRIVE</v>
      </c>
      <c r="G1474" s="3" t="str">
        <f>CLEAN("RE/RECONSTRUCT")</f>
        <v>RE/RECONSTRUCT</v>
      </c>
      <c r="H1474" s="2" t="str">
        <f t="shared" si="234"/>
        <v>LOC STR</v>
      </c>
      <c r="I1474" s="2" t="str">
        <f t="shared" si="235"/>
        <v>206</v>
      </c>
    </row>
    <row r="1475" spans="1:9" x14ac:dyDescent="0.35">
      <c r="A1475" s="2" t="str">
        <f t="shared" si="236"/>
        <v>WASHINGTON</v>
      </c>
      <c r="B1475" s="2" t="str">
        <f t="shared" si="237"/>
        <v>CITY OF WEST BEND</v>
      </c>
      <c r="C1475" s="2" t="s">
        <v>2812</v>
      </c>
      <c r="D1475" s="2" t="str">
        <f>CLEAN("2707-11-01")</f>
        <v>2707-11-01</v>
      </c>
      <c r="E1475" s="3" t="str">
        <f>CLEAN("C WEST BEND  PARADISE DR")</f>
        <v>C WEST BEND  PARADISE DR</v>
      </c>
      <c r="F1475" s="3" t="str">
        <f>CLEAN("S MAIN ST TO INDIANA AVE")</f>
        <v>S MAIN ST TO INDIANA AVE</v>
      </c>
      <c r="G1475" s="3" t="str">
        <f>CLEAN("PE/FULL PS/PVRPLA")</f>
        <v>PE/FULL PS/PVRPLA</v>
      </c>
      <c r="H1475" s="2" t="str">
        <f t="shared" si="234"/>
        <v>LOC STR</v>
      </c>
      <c r="I1475" s="2" t="str">
        <f t="shared" si="235"/>
        <v>206</v>
      </c>
    </row>
    <row r="1476" spans="1:9" x14ac:dyDescent="0.35">
      <c r="A1476" s="2" t="str">
        <f t="shared" si="236"/>
        <v>WASHINGTON</v>
      </c>
      <c r="B1476" s="2" t="str">
        <f t="shared" si="237"/>
        <v>CITY OF WEST BEND</v>
      </c>
      <c r="C1476" s="2" t="s">
        <v>2705</v>
      </c>
      <c r="D1476" s="2" t="str">
        <f>CLEAN("1410-11-01")</f>
        <v>1410-11-01</v>
      </c>
      <c r="E1476" s="3" t="str">
        <f t="shared" ref="E1476:E1481" si="238">CLEAN("C WEST BEND - E/W WASHINGTON ST")</f>
        <v>C WEST BEND - E/W WASHINGTON ST</v>
      </c>
      <c r="F1476" s="3" t="str">
        <f>CLEAN("INTERSECTION WITH 7TH AVE/MAIN ST")</f>
        <v>INTERSECTION WITH 7TH AVE/MAIN ST</v>
      </c>
      <c r="G1476" s="3" t="str">
        <f>CLEAN("PE/FULL PS&amp;E ROW/MISC")</f>
        <v>PE/FULL PS&amp;E ROW/MISC</v>
      </c>
      <c r="H1476" s="2" t="str">
        <f t="shared" ref="H1476:H1481" si="239">CLEAN("STH 033")</f>
        <v>STH 033</v>
      </c>
      <c r="I1476" s="2" t="str">
        <f t="shared" ref="I1476:I1481" si="240">CLEAN("303")</f>
        <v>303</v>
      </c>
    </row>
    <row r="1477" spans="1:9" x14ac:dyDescent="0.35">
      <c r="A1477" s="2" t="str">
        <f t="shared" si="236"/>
        <v>WASHINGTON</v>
      </c>
      <c r="B1477" s="2" t="str">
        <f t="shared" si="237"/>
        <v>CITY OF WEST BEND</v>
      </c>
      <c r="C1477" s="2" t="s">
        <v>2704</v>
      </c>
      <c r="D1477" s="2" t="str">
        <f>CLEAN("1410-11-02")</f>
        <v>1410-11-02</v>
      </c>
      <c r="E1477" s="3" t="str">
        <f t="shared" si="238"/>
        <v>C WEST BEND - E/W WASHINGTON ST</v>
      </c>
      <c r="F1477" s="3" t="str">
        <f>CLEAN("INTERSECTION WITH 18TH AVE")</f>
        <v>INTERSECTION WITH 18TH AVE</v>
      </c>
      <c r="G1477" s="3" t="str">
        <f>CLEAN("PE/FULL PS&amp;E ROW/MISC")</f>
        <v>PE/FULL PS&amp;E ROW/MISC</v>
      </c>
      <c r="H1477" s="2" t="str">
        <f t="shared" si="239"/>
        <v>STH 033</v>
      </c>
      <c r="I1477" s="2" t="str">
        <f t="shared" si="240"/>
        <v>303</v>
      </c>
    </row>
    <row r="1478" spans="1:9" x14ac:dyDescent="0.35">
      <c r="A1478" s="2" t="str">
        <f t="shared" si="236"/>
        <v>WASHINGTON</v>
      </c>
      <c r="B1478" s="2" t="str">
        <f t="shared" si="237"/>
        <v>CITY OF WEST BEND</v>
      </c>
      <c r="C1478" s="2" t="s">
        <v>2706</v>
      </c>
      <c r="D1478" s="2" t="str">
        <f>CLEAN("1410-11-03")</f>
        <v>1410-11-03</v>
      </c>
      <c r="E1478" s="3" t="str">
        <f t="shared" si="238"/>
        <v>C WEST BEND - E/W WASHINGTON ST</v>
      </c>
      <c r="F1478" s="3" t="str">
        <f>CLEAN("INTERSECTION WITH RIVER RD")</f>
        <v>INTERSECTION WITH RIVER RD</v>
      </c>
      <c r="G1478" s="3" t="str">
        <f>CLEAN("PE/FULL PS&amp;E ROW/MISC")</f>
        <v>PE/FULL PS&amp;E ROW/MISC</v>
      </c>
      <c r="H1478" s="2" t="str">
        <f t="shared" si="239"/>
        <v>STH 033</v>
      </c>
      <c r="I1478" s="2" t="str">
        <f t="shared" si="240"/>
        <v>303</v>
      </c>
    </row>
    <row r="1479" spans="1:9" x14ac:dyDescent="0.35">
      <c r="A1479" s="2" t="str">
        <f t="shared" si="236"/>
        <v>WASHINGTON</v>
      </c>
      <c r="B1479" s="2" t="str">
        <f t="shared" si="237"/>
        <v>CITY OF WEST BEND</v>
      </c>
      <c r="C1479" s="2" t="s">
        <v>623</v>
      </c>
      <c r="D1479" s="2" t="str">
        <f>CLEAN("1410-11-71")</f>
        <v>1410-11-71</v>
      </c>
      <c r="E1479" s="3" t="str">
        <f t="shared" si="238"/>
        <v>C WEST BEND - E/W WASHINGTON ST</v>
      </c>
      <c r="F1479" s="3" t="str">
        <f>CLEAN("INTERSECTION WITH 7TH AVE/MAIN ST")</f>
        <v>INTERSECTION WITH 7TH AVE/MAIN ST</v>
      </c>
      <c r="G1479" s="3" t="str">
        <f>CLEAN("CONST/MISC")</f>
        <v>CONST/MISC</v>
      </c>
      <c r="H1479" s="2" t="str">
        <f t="shared" si="239"/>
        <v>STH 033</v>
      </c>
      <c r="I1479" s="2" t="str">
        <f t="shared" si="240"/>
        <v>303</v>
      </c>
    </row>
    <row r="1480" spans="1:9" x14ac:dyDescent="0.35">
      <c r="A1480" s="2" t="str">
        <f t="shared" si="236"/>
        <v>WASHINGTON</v>
      </c>
      <c r="B1480" s="2" t="str">
        <f t="shared" si="237"/>
        <v>CITY OF WEST BEND</v>
      </c>
      <c r="C1480" s="2" t="s">
        <v>622</v>
      </c>
      <c r="D1480" s="2" t="str">
        <f>CLEAN("1410-11-72")</f>
        <v>1410-11-72</v>
      </c>
      <c r="E1480" s="3" t="str">
        <f t="shared" si="238"/>
        <v>C WEST BEND - E/W WASHINGTON ST</v>
      </c>
      <c r="F1480" s="3" t="str">
        <f>CLEAN("INTERSECTION WITH 18TH AVE")</f>
        <v>INTERSECTION WITH 18TH AVE</v>
      </c>
      <c r="G1480" s="3" t="str">
        <f>CLEAN("CONST/MISC")</f>
        <v>CONST/MISC</v>
      </c>
      <c r="H1480" s="2" t="str">
        <f t="shared" si="239"/>
        <v>STH 033</v>
      </c>
      <c r="I1480" s="2" t="str">
        <f t="shared" si="240"/>
        <v>303</v>
      </c>
    </row>
    <row r="1481" spans="1:9" x14ac:dyDescent="0.35">
      <c r="A1481" s="2" t="str">
        <f t="shared" si="236"/>
        <v>WASHINGTON</v>
      </c>
      <c r="B1481" s="2" t="str">
        <f t="shared" si="237"/>
        <v>CITY OF WEST BEND</v>
      </c>
      <c r="C1481" s="2" t="s">
        <v>625</v>
      </c>
      <c r="D1481" s="2" t="str">
        <f>CLEAN("1410-11-73")</f>
        <v>1410-11-73</v>
      </c>
      <c r="E1481" s="3" t="str">
        <f t="shared" si="238"/>
        <v>C WEST BEND - E/W WASHINGTON ST</v>
      </c>
      <c r="F1481" s="3" t="str">
        <f>CLEAN("INTERSECTION WITH RIVER RD")</f>
        <v>INTERSECTION WITH RIVER RD</v>
      </c>
      <c r="G1481" s="3" t="str">
        <f>CLEAN("CONST/MISC")</f>
        <v>CONST/MISC</v>
      </c>
      <c r="H1481" s="2" t="str">
        <f t="shared" si="239"/>
        <v>STH 033</v>
      </c>
      <c r="I1481" s="2" t="str">
        <f t="shared" si="240"/>
        <v>303</v>
      </c>
    </row>
    <row r="1482" spans="1:9" x14ac:dyDescent="0.35">
      <c r="A1482" s="2" t="str">
        <f t="shared" si="236"/>
        <v>WASHINGTON</v>
      </c>
      <c r="B1482" s="2" t="str">
        <f t="shared" si="237"/>
        <v>CITY OF WEST BEND</v>
      </c>
      <c r="C1482" s="2" t="s">
        <v>719</v>
      </c>
      <c r="D1482" s="2" t="str">
        <f>CLEAN("2707-03-72")</f>
        <v>2707-03-72</v>
      </c>
      <c r="E1482" s="3" t="str">
        <f>CLEAN("C WEST BEND  WATER ST")</f>
        <v>C WEST BEND  WATER ST</v>
      </c>
      <c r="F1482" s="3" t="str">
        <f>CLEAN("FOREST AVENUE TO INDIANA AVENUE")</f>
        <v>FOREST AVENUE TO INDIANA AVENUE</v>
      </c>
      <c r="G1482" s="3" t="str">
        <f>CLEAN("CONST/PVRPLA")</f>
        <v>CONST/PVRPLA</v>
      </c>
      <c r="H1482" s="2" t="str">
        <f>CLEAN("LOC STR")</f>
        <v>LOC STR</v>
      </c>
      <c r="I1482" s="2" t="str">
        <f>CLEAN("206")</f>
        <v>206</v>
      </c>
    </row>
    <row r="1483" spans="1:9" x14ac:dyDescent="0.35">
      <c r="A1483" s="2" t="str">
        <f t="shared" si="236"/>
        <v>WASHINGTON</v>
      </c>
      <c r="B1483" s="2" t="str">
        <f t="shared" si="237"/>
        <v>CITY OF WEST BEND</v>
      </c>
      <c r="C1483" s="2" t="s">
        <v>836</v>
      </c>
      <c r="D1483" s="2" t="str">
        <f>CLEAN("2707-03-74")</f>
        <v>2707-03-74</v>
      </c>
      <c r="E1483" s="3" t="str">
        <f>CLEAN("C WEST BEND  RUSCO DR")</f>
        <v>C WEST BEND  RUSCO DR</v>
      </c>
      <c r="F1483" s="3" t="str">
        <f>CLEAN("S MAIN ST TO RIVER ROAD")</f>
        <v>S MAIN ST TO RIVER ROAD</v>
      </c>
      <c r="G1483" s="3" t="str">
        <f>CLEAN("CONST/RECST")</f>
        <v>CONST/RECST</v>
      </c>
      <c r="H1483" s="2" t="str">
        <f>CLEAN("LOC STR")</f>
        <v>LOC STR</v>
      </c>
      <c r="I1483" s="2" t="str">
        <f>CLEAN("206")</f>
        <v>206</v>
      </c>
    </row>
    <row r="1484" spans="1:9" x14ac:dyDescent="0.35">
      <c r="A1484" s="2" t="str">
        <f t="shared" si="236"/>
        <v>WASHINGTON</v>
      </c>
      <c r="B1484" s="2" t="str">
        <f t="shared" si="237"/>
        <v>CITY OF WEST BEND</v>
      </c>
      <c r="C1484" s="2" t="s">
        <v>768</v>
      </c>
      <c r="D1484" s="2" t="str">
        <f>CLEAN("2707-05-71")</f>
        <v>2707-05-71</v>
      </c>
      <c r="E1484" s="3" t="str">
        <f>CLEAN("C WEST BEND  S MAIN ST")</f>
        <v>C WEST BEND  S MAIN ST</v>
      </c>
      <c r="F1484" s="3" t="str">
        <f>CLEAN("HUMAR ST TO PROGRESS DR")</f>
        <v>HUMAR ST TO PROGRESS DR</v>
      </c>
      <c r="G1484" s="3" t="str">
        <f>CLEAN("CONST/RECONSTRUCT")</f>
        <v>CONST/RECONSTRUCT</v>
      </c>
      <c r="H1484" s="2" t="str">
        <f>CLEAN("LOC STR")</f>
        <v>LOC STR</v>
      </c>
      <c r="I1484" s="2" t="str">
        <f>CLEAN("206")</f>
        <v>206</v>
      </c>
    </row>
    <row r="1485" spans="1:9" x14ac:dyDescent="0.35">
      <c r="A1485" s="2" t="str">
        <f t="shared" si="236"/>
        <v>WASHINGTON</v>
      </c>
      <c r="B1485" s="2" t="str">
        <f t="shared" si="237"/>
        <v>CITY OF WEST BEND</v>
      </c>
      <c r="C1485" s="2" t="s">
        <v>782</v>
      </c>
      <c r="D1485" s="2" t="str">
        <f>CLEAN("2707-06-70")</f>
        <v>2707-06-70</v>
      </c>
      <c r="E1485" s="3" t="str">
        <f>CLEAN("18TH AVENUE")</f>
        <v>18TH AVENUE</v>
      </c>
      <c r="F1485" s="3" t="str">
        <f>CLEAN("VOGT DRIVE TO PARADISE DRIVE")</f>
        <v>VOGT DRIVE TO PARADISE DRIVE</v>
      </c>
      <c r="G1485" s="3" t="str">
        <f>CLEAN("CONST/RECONSTRUCT")</f>
        <v>CONST/RECONSTRUCT</v>
      </c>
      <c r="H1485" s="2" t="str">
        <f>CLEAN("LOC STR")</f>
        <v>LOC STR</v>
      </c>
      <c r="I1485" s="2" t="str">
        <f>CLEAN("206")</f>
        <v>206</v>
      </c>
    </row>
    <row r="1486" spans="1:9" x14ac:dyDescent="0.35">
      <c r="A1486" s="2" t="str">
        <f t="shared" si="236"/>
        <v>WASHINGTON</v>
      </c>
      <c r="B1486" s="2" t="str">
        <f t="shared" si="237"/>
        <v>CITY OF WEST BEND</v>
      </c>
      <c r="C1486" s="2" t="s">
        <v>554</v>
      </c>
      <c r="D1486" s="2" t="str">
        <f>CLEAN("2707-09-70")</f>
        <v>2707-09-70</v>
      </c>
      <c r="E1486" s="3" t="str">
        <f>CLEAN("C WEST BEND MAIN &amp; PARADISE")</f>
        <v>C WEST BEND MAIN &amp; PARADISE</v>
      </c>
      <c r="F1486" s="3" t="str">
        <f>CLEAN("INTER/DECORAH/PARADISE/SILVERBROOK")</f>
        <v>INTER/DECORAH/PARADISE/SILVERBROOK</v>
      </c>
      <c r="G1486" s="3" t="str">
        <f>CLEAN("CONST/FULL PS/MISC")</f>
        <v>CONST/FULL PS/MISC</v>
      </c>
      <c r="H1486" s="2" t="str">
        <f>CLEAN("LOC STR")</f>
        <v>LOC STR</v>
      </c>
      <c r="I1486" s="2" t="str">
        <f>CLEAN("206")</f>
        <v>206</v>
      </c>
    </row>
    <row r="1487" spans="1:9" x14ac:dyDescent="0.35">
      <c r="A1487" s="2" t="str">
        <f t="shared" si="236"/>
        <v>WASHINGTON</v>
      </c>
      <c r="B1487" s="2" t="str">
        <f t="shared" si="237"/>
        <v>CITY OF WEST BEND</v>
      </c>
      <c r="C1487" s="2" t="s">
        <v>3012</v>
      </c>
      <c r="D1487" s="2" t="str">
        <f>CLEAN("2707-10-00")</f>
        <v>2707-10-00</v>
      </c>
      <c r="E1487" s="3" t="str">
        <f>CLEAN("SAFETY STUDY PED/BIKES/E SCOOTERS")</f>
        <v>SAFETY STUDY PED/BIKES/E SCOOTERS</v>
      </c>
      <c r="F1487" s="3" t="str">
        <f>CLEAN("CITY WIDE - WEST BEND")</f>
        <v>CITY WIDE - WEST BEND</v>
      </c>
      <c r="G1487" s="3" t="str">
        <f>CLEAN("PE/STUDY")</f>
        <v>PE/STUDY</v>
      </c>
      <c r="H1487" s="2" t="str">
        <f>CLEAN("NON HWY")</f>
        <v>NON HWY</v>
      </c>
      <c r="I1487" s="2" t="str">
        <f>CLEAN("290")</f>
        <v>290</v>
      </c>
    </row>
    <row r="1488" spans="1:9" x14ac:dyDescent="0.35">
      <c r="A1488" s="2" t="str">
        <f t="shared" si="236"/>
        <v>WASHINGTON</v>
      </c>
      <c r="B1488" s="2" t="str">
        <f t="shared" si="237"/>
        <v>CITY OF WEST BEND</v>
      </c>
      <c r="C1488" s="2" t="s">
        <v>2811</v>
      </c>
      <c r="D1488" s="2" t="str">
        <f>CLEAN("2707-11-00")</f>
        <v>2707-11-00</v>
      </c>
      <c r="E1488" s="3" t="str">
        <f>CLEAN("C WEST BEND  PARADISE DR")</f>
        <v>C WEST BEND  PARADISE DR</v>
      </c>
      <c r="F1488" s="3" t="str">
        <f>CLEAN("S MAIN ST TO INDIANA AVE")</f>
        <v>S MAIN ST TO INDIANA AVE</v>
      </c>
      <c r="G1488" s="3" t="str">
        <f>CLEAN("PE/FULL PS/PVRPLA")</f>
        <v>PE/FULL PS/PVRPLA</v>
      </c>
      <c r="H1488" s="2" t="str">
        <f>CLEAN("LOC STR")</f>
        <v>LOC STR</v>
      </c>
      <c r="I1488" s="2" t="str">
        <f>CLEAN("206")</f>
        <v>206</v>
      </c>
    </row>
    <row r="1489" spans="1:9" x14ac:dyDescent="0.35">
      <c r="A1489" s="2" t="str">
        <f>CLEAN("VERNON")</f>
        <v>VERNON</v>
      </c>
      <c r="B1489" s="2" t="str">
        <f>CLEAN("CITY OF WESTBY")</f>
        <v>CITY OF WESTBY</v>
      </c>
      <c r="C1489" s="2" t="s">
        <v>801</v>
      </c>
      <c r="D1489" s="2" t="str">
        <f>CLEAN("1646-08-72")</f>
        <v>1646-08-72</v>
      </c>
      <c r="E1489" s="3" t="str">
        <f>CLEAN("C WESTBY  N MAIN STREET")</f>
        <v>C WESTBY  N MAIN STREET</v>
      </c>
      <c r="F1489" s="3" t="str">
        <f>CLEAN("HIGH ECHO LANE TO LOCUST STREET")</f>
        <v>HIGH ECHO LANE TO LOCUST STREET</v>
      </c>
      <c r="G1489" s="3" t="str">
        <f>CLEAN("CONST/RECONSTRUCT ROADWAY/RECST")</f>
        <v>CONST/RECONSTRUCT ROADWAY/RECST</v>
      </c>
      <c r="H1489" s="2" t="str">
        <f>CLEAN("USH 014")</f>
        <v>USH 014</v>
      </c>
      <c r="I1489" s="2" t="str">
        <f>CLEAN("303")</f>
        <v>303</v>
      </c>
    </row>
    <row r="1490" spans="1:9" x14ac:dyDescent="0.35">
      <c r="A1490" s="2" t="str">
        <f>CLEAN("WALWORTH")</f>
        <v>WALWORTH</v>
      </c>
      <c r="B1490" s="2" t="str">
        <f>CLEAN("CITY OF WHITEWATER")</f>
        <v>CITY OF WHITEWATER</v>
      </c>
      <c r="C1490" s="2" t="s">
        <v>2964</v>
      </c>
      <c r="D1490" s="2" t="str">
        <f>CLEAN("3110-03-03")</f>
        <v>3110-03-03</v>
      </c>
      <c r="E1490" s="3" t="str">
        <f>CLEAN("MILTON TO WHITEWATER")</f>
        <v>MILTON TO WHITEWATER</v>
      </c>
      <c r="F1490" s="3" t="str">
        <f>CLEAN("WCL TO WILLIS RAY ROAD")</f>
        <v>WCL TO WILLIS RAY ROAD</v>
      </c>
      <c r="G1490" s="3" t="str">
        <f>CLEAN("PE/RESURFACE")</f>
        <v>PE/RESURFACE</v>
      </c>
      <c r="H1490" s="2" t="str">
        <f>CLEAN("STH 059")</f>
        <v>STH 059</v>
      </c>
      <c r="I1490" s="2" t="str">
        <f>CLEAN("303")</f>
        <v>303</v>
      </c>
    </row>
    <row r="1491" spans="1:9" x14ac:dyDescent="0.35">
      <c r="A1491" s="2" t="str">
        <f>CLEAN("WALWORTH")</f>
        <v>WALWORTH</v>
      </c>
      <c r="B1491" s="2" t="str">
        <f>CLEAN("CITY OF WHITEWATER")</f>
        <v>CITY OF WHITEWATER</v>
      </c>
      <c r="C1491" s="2" t="s">
        <v>728</v>
      </c>
      <c r="D1491" s="2" t="str">
        <f>CLEAN("3835-00-75")</f>
        <v>3835-00-75</v>
      </c>
      <c r="E1491" s="3" t="str">
        <f>CLEAN("C WHITEWATER  INNOVATION DR")</f>
        <v>C WHITEWATER  INNOVATION DR</v>
      </c>
      <c r="F1491" s="3" t="str">
        <f>CLEAN("TECHNOLOGY DR TO HOWARD RD")</f>
        <v>TECHNOLOGY DR TO HOWARD RD</v>
      </c>
      <c r="G1491" s="3" t="str">
        <f>CLEAN("CONST/PVRPLA")</f>
        <v>CONST/PVRPLA</v>
      </c>
      <c r="H1491" s="2" t="str">
        <f>CLEAN("LOC STR")</f>
        <v>LOC STR</v>
      </c>
      <c r="I1491" s="2" t="str">
        <f>CLEAN("206")</f>
        <v>206</v>
      </c>
    </row>
    <row r="1492" spans="1:9" x14ac:dyDescent="0.35">
      <c r="A1492" s="2" t="str">
        <f>CLEAN("WALWORTH")</f>
        <v>WALWORTH</v>
      </c>
      <c r="B1492" s="2" t="str">
        <f>CLEAN("CITY OF WHITEWATER")</f>
        <v>CITY OF WHITEWATER</v>
      </c>
      <c r="C1492" s="2" t="s">
        <v>729</v>
      </c>
      <c r="D1492" s="2" t="str">
        <f>CLEAN("3835-05-74")</f>
        <v>3835-05-74</v>
      </c>
      <c r="E1492" s="3" t="str">
        <f>CLEAN("C WHITEWATER  WALWORTH AVE")</f>
        <v>C WHITEWATER  WALWORTH AVE</v>
      </c>
      <c r="F1492" s="3" t="str">
        <f>CLEAN("W CITY LIMITS TO S JANESVILLE ST")</f>
        <v>W CITY LIMITS TO S JANESVILLE ST</v>
      </c>
      <c r="G1492" s="3" t="str">
        <f>CLEAN("CONST/PVRPLA")</f>
        <v>CONST/PVRPLA</v>
      </c>
      <c r="H1492" s="2" t="str">
        <f>CLEAN("LOC STR")</f>
        <v>LOC STR</v>
      </c>
      <c r="I1492" s="2" t="str">
        <f>CLEAN("206")</f>
        <v>206</v>
      </c>
    </row>
    <row r="1493" spans="1:9" x14ac:dyDescent="0.35">
      <c r="A1493" s="2" t="str">
        <f>CLEAN("SAUK")</f>
        <v>SAUK</v>
      </c>
      <c r="B1493" s="2" t="str">
        <f>CLEAN("CITY OF WISCONSIN DELLS")</f>
        <v>CITY OF WISCONSIN DELLS</v>
      </c>
      <c r="C1493" s="2" t="s">
        <v>1153</v>
      </c>
      <c r="D1493" s="2" t="str">
        <f>CLEAN("6145-01-74")</f>
        <v>6145-01-74</v>
      </c>
      <c r="E1493" s="3" t="str">
        <f>CLEAN("WISCONSIN DELLS - BARABOO")</f>
        <v>WISCONSIN DELLS - BARABOO</v>
      </c>
      <c r="F1493" s="3" t="str">
        <f>CLEAN("STH 13 TO CTH A")</f>
        <v>STH 13 TO CTH A</v>
      </c>
      <c r="G1493" s="3" t="str">
        <f>CLEAN("CONSTRUCTION/ PVRPLA")</f>
        <v>CONSTRUCTION/ PVRPLA</v>
      </c>
      <c r="H1493" s="2" t="str">
        <f>CLEAN("USH 012")</f>
        <v>USH 012</v>
      </c>
      <c r="I1493" s="2" t="str">
        <f t="shared" ref="I1493:I1498" si="241">CLEAN("303")</f>
        <v>303</v>
      </c>
    </row>
    <row r="1494" spans="1:9" x14ac:dyDescent="0.35">
      <c r="A1494" s="2" t="str">
        <f>CLEAN("SAUK")</f>
        <v>SAUK</v>
      </c>
      <c r="B1494" s="2" t="str">
        <f>CLEAN("CITY OF WISCONSIN DELLS")</f>
        <v>CITY OF WISCONSIN DELLS</v>
      </c>
      <c r="C1494" s="2" t="s">
        <v>1036</v>
      </c>
      <c r="D1494" s="2" t="str">
        <f>CLEAN("6145-01-84")</f>
        <v>6145-01-84</v>
      </c>
      <c r="E1494" s="3" t="str">
        <f>CLEAN("WISCONSIN DELLS - BARABOO")</f>
        <v>WISCONSIN DELLS - BARABOO</v>
      </c>
      <c r="F1494" s="3" t="str">
        <f>CLEAN("STH 13 TO CTH A")</f>
        <v>STH 13 TO CTH A</v>
      </c>
      <c r="G1494" s="3" t="str">
        <f>CLEAN("CONST/SEWER &amp; WATER/PVRPLA")</f>
        <v>CONST/SEWER &amp; WATER/PVRPLA</v>
      </c>
      <c r="H1494" s="2" t="str">
        <f>CLEAN("USH 012")</f>
        <v>USH 012</v>
      </c>
      <c r="I1494" s="2" t="str">
        <f t="shared" si="241"/>
        <v>303</v>
      </c>
    </row>
    <row r="1495" spans="1:9" x14ac:dyDescent="0.35">
      <c r="A1495" s="2" t="str">
        <f t="shared" ref="A1495:A1506" si="242">CLEAN("WOOD")</f>
        <v>WOOD</v>
      </c>
      <c r="B1495" s="2" t="str">
        <f t="shared" ref="B1495:B1506" si="243">CLEAN("CITY OF WISCONSIN RAPIDS")</f>
        <v>CITY OF WISCONSIN RAPIDS</v>
      </c>
      <c r="C1495" s="2" t="s">
        <v>1912</v>
      </c>
      <c r="D1495" s="2" t="str">
        <f>CLEAN("6140-04-01")</f>
        <v>6140-04-01</v>
      </c>
      <c r="E1495" s="3" t="str">
        <f>CLEAN("C WI RAPIDS  RIVERVIEW EXPRESS WAY")</f>
        <v>C WI RAPIDS  RIVERVIEW EXPRESS WAY</v>
      </c>
      <c r="F1495" s="3" t="str">
        <f>CLEAN("GRAND AVENUE TO EDGEWOOD PLACE")</f>
        <v>GRAND AVENUE TO EDGEWOOD PLACE</v>
      </c>
      <c r="G1495" s="3" t="str">
        <f>CLEAN("DESIGN/FULL PSE/PVRPLA")</f>
        <v>DESIGN/FULL PSE/PVRPLA</v>
      </c>
      <c r="H1495" s="2" t="str">
        <f>CLEAN("STH 013")</f>
        <v>STH 013</v>
      </c>
      <c r="I1495" s="2" t="str">
        <f t="shared" si="241"/>
        <v>303</v>
      </c>
    </row>
    <row r="1496" spans="1:9" x14ac:dyDescent="0.35">
      <c r="A1496" s="2" t="str">
        <f t="shared" si="242"/>
        <v>WOOD</v>
      </c>
      <c r="B1496" s="2" t="str">
        <f t="shared" si="243"/>
        <v>CITY OF WISCONSIN RAPIDS</v>
      </c>
      <c r="C1496" s="2" t="s">
        <v>1915</v>
      </c>
      <c r="D1496" s="2" t="str">
        <f>CLEAN("6999-03-13")</f>
        <v>6999-03-13</v>
      </c>
      <c r="E1496" s="3" t="str">
        <f>CLEAN("C WISCONSIN RAPIDS  8TH ST SOUTH")</f>
        <v>C WISCONSIN RAPIDS  8TH ST SOUTH</v>
      </c>
      <c r="F1496" s="3" t="str">
        <f>CLEAN("LAKEWOOD LANE TO WHITROCK AVENUE")</f>
        <v>LAKEWOOD LANE TO WHITROCK AVENUE</v>
      </c>
      <c r="G1496" s="3" t="str">
        <f>CLEAN("DESIGN/FULL PSE/PVRPLA")</f>
        <v>DESIGN/FULL PSE/PVRPLA</v>
      </c>
      <c r="H1496" s="2" t="str">
        <f>CLEAN("STH 013")</f>
        <v>STH 013</v>
      </c>
      <c r="I1496" s="2" t="str">
        <f t="shared" si="241"/>
        <v>303</v>
      </c>
    </row>
    <row r="1497" spans="1:9" x14ac:dyDescent="0.35">
      <c r="A1497" s="2" t="str">
        <f t="shared" si="242"/>
        <v>WOOD</v>
      </c>
      <c r="B1497" s="2" t="str">
        <f t="shared" si="243"/>
        <v>CITY OF WISCONSIN RAPIDS</v>
      </c>
      <c r="C1497" s="2" t="s">
        <v>1927</v>
      </c>
      <c r="D1497" s="2" t="str">
        <f>CLEAN("6999-03-14")</f>
        <v>6999-03-14</v>
      </c>
      <c r="E1497" s="3" t="str">
        <f>CLEAN("C WISCONSIN RAPIDS  8TH ST SOUTH")</f>
        <v>C WISCONSIN RAPIDS  8TH ST SOUTH</v>
      </c>
      <c r="F1497" s="3" t="str">
        <f>CLEAN("WHITROCK AVENUE TO TAYLOR AVENUE")</f>
        <v>WHITROCK AVENUE TO TAYLOR AVENUE</v>
      </c>
      <c r="G1497" s="3" t="str">
        <f>CLEAN("DESIGN/FULL PSE/PVRPLA")</f>
        <v>DESIGN/FULL PSE/PVRPLA</v>
      </c>
      <c r="H1497" s="2" t="str">
        <f>CLEAN("STH 013")</f>
        <v>STH 013</v>
      </c>
      <c r="I1497" s="2" t="str">
        <f t="shared" si="241"/>
        <v>303</v>
      </c>
    </row>
    <row r="1498" spans="1:9" x14ac:dyDescent="0.35">
      <c r="A1498" s="2" t="str">
        <f t="shared" si="242"/>
        <v>WOOD</v>
      </c>
      <c r="B1498" s="2" t="str">
        <f t="shared" si="243"/>
        <v>CITY OF WISCONSIN RAPIDS</v>
      </c>
      <c r="C1498" s="2" t="s">
        <v>2018</v>
      </c>
      <c r="D1498" s="2" t="str">
        <f>CLEAN("6999-03-19")</f>
        <v>6999-03-19</v>
      </c>
      <c r="E1498" s="3" t="str">
        <f>CLEAN("C WISCONSIN RAPIDS  SECOND AVE SO")</f>
        <v>C WISCONSIN RAPIDS  SECOND AVE SO</v>
      </c>
      <c r="F1498" s="3" t="str">
        <f>CLEAN("SENECA ROAD TO STH 13")</f>
        <v>SENECA ROAD TO STH 13</v>
      </c>
      <c r="G1498" s="3" t="str">
        <f>CLEAN("DESIGN/FULL PSE/RESURFACE")</f>
        <v>DESIGN/FULL PSE/RESURFACE</v>
      </c>
      <c r="H1498" s="2" t="str">
        <f>CLEAN("STH 054")</f>
        <v>STH 054</v>
      </c>
      <c r="I1498" s="2" t="str">
        <f t="shared" si="241"/>
        <v>303</v>
      </c>
    </row>
    <row r="1499" spans="1:9" x14ac:dyDescent="0.35">
      <c r="A1499" s="2" t="str">
        <f t="shared" si="242"/>
        <v>WOOD</v>
      </c>
      <c r="B1499" s="2" t="str">
        <f t="shared" si="243"/>
        <v>CITY OF WISCONSIN RAPIDS</v>
      </c>
      <c r="C1499" s="2" t="s">
        <v>2028</v>
      </c>
      <c r="D1499" s="2" t="str">
        <f>CLEAN("6999-11-15")</f>
        <v>6999-11-15</v>
      </c>
      <c r="E1499" s="3" t="str">
        <f>CLEAN("C WI RAPIDS  WOOD AVENUE")</f>
        <v>C WI RAPIDS  WOOD AVENUE</v>
      </c>
      <c r="F1499" s="3" t="str">
        <f>CLEAN("STH 13 INTERSECTION MODIFICATION")</f>
        <v>STH 13 INTERSECTION MODIFICATION</v>
      </c>
      <c r="G1499" s="3" t="str">
        <f>CLEAN("DESIGN/HSIP")</f>
        <v>DESIGN/HSIP</v>
      </c>
      <c r="H1499" s="2" t="str">
        <f>CLEAN("LOC STR")</f>
        <v>LOC STR</v>
      </c>
      <c r="I1499" s="2" t="str">
        <f>CLEAN("206")</f>
        <v>206</v>
      </c>
    </row>
    <row r="1500" spans="1:9" x14ac:dyDescent="0.35">
      <c r="A1500" s="2" t="str">
        <f t="shared" si="242"/>
        <v>WOOD</v>
      </c>
      <c r="B1500" s="2" t="str">
        <f t="shared" si="243"/>
        <v>CITY OF WISCONSIN RAPIDS</v>
      </c>
      <c r="C1500" s="2" t="s">
        <v>1906</v>
      </c>
      <c r="D1500" s="2" t="str">
        <f>CLEAN("1525-00-30")</f>
        <v>1525-00-30</v>
      </c>
      <c r="E1500" s="3" t="str">
        <f>CLEAN("C WISCONSIN RAPIDS  W GRAND AVENUE")</f>
        <v>C WISCONSIN RAPIDS  W GRAND AVENUE</v>
      </c>
      <c r="F1500" s="3" t="str">
        <f>CLEAN("STH 13 TO CRANBERRY CREEK")</f>
        <v>STH 13 TO CRANBERRY CREEK</v>
      </c>
      <c r="G1500" s="3" t="str">
        <f>CLEAN("DESIGN/FULL PSE/PSRS")</f>
        <v>DESIGN/FULL PSE/PSRS</v>
      </c>
      <c r="H1500" s="2" t="str">
        <f>CLEAN("STH 073")</f>
        <v>STH 073</v>
      </c>
      <c r="I1500" s="2" t="str">
        <f>CLEAN("303")</f>
        <v>303</v>
      </c>
    </row>
    <row r="1501" spans="1:9" x14ac:dyDescent="0.35">
      <c r="A1501" s="2" t="str">
        <f t="shared" si="242"/>
        <v>WOOD</v>
      </c>
      <c r="B1501" s="2" t="str">
        <f t="shared" si="243"/>
        <v>CITY OF WISCONSIN RAPIDS</v>
      </c>
      <c r="C1501" s="2" t="s">
        <v>2554</v>
      </c>
      <c r="D1501" s="2" t="str">
        <f>CLEAN("3700-40-44")</f>
        <v>3700-40-44</v>
      </c>
      <c r="E1501" s="3" t="str">
        <f>CLEAN("C WI RAPIDS  SIGNAL RETROFIT")</f>
        <v>C WI RAPIDS  SIGNAL RETROFIT</v>
      </c>
      <c r="F1501" s="3" t="str">
        <f>CLEAN("STH 13/CHASE/HIGH ST INTERSECTIONS")</f>
        <v>STH 13/CHASE/HIGH ST INTERSECTIONS</v>
      </c>
      <c r="G1501" s="3" t="str">
        <f>CLEAN("ITS/DESIGN/STANDALONE PROGRAM")</f>
        <v>ITS/DESIGN/STANDALONE PROGRAM</v>
      </c>
      <c r="H1501" s="2" t="str">
        <f>CLEAN("STH 013")</f>
        <v>STH 013</v>
      </c>
      <c r="I1501" s="2" t="str">
        <f>CLEAN("305")</f>
        <v>305</v>
      </c>
    </row>
    <row r="1502" spans="1:9" x14ac:dyDescent="0.35">
      <c r="A1502" s="2" t="str">
        <f t="shared" si="242"/>
        <v>WOOD</v>
      </c>
      <c r="B1502" s="2" t="str">
        <f t="shared" si="243"/>
        <v>CITY OF WISCONSIN RAPIDS</v>
      </c>
      <c r="C1502" s="2" t="s">
        <v>2548</v>
      </c>
      <c r="D1502" s="2" t="str">
        <f>CLEAN("3700-40-45")</f>
        <v>3700-40-45</v>
      </c>
      <c r="E1502" s="3" t="str">
        <f>CLEAN("C WI RAPIDS  SIGNAL RETROFIT")</f>
        <v>C WI RAPIDS  SIGNAL RETROFIT</v>
      </c>
      <c r="F1502" s="3" t="str">
        <f>CLEAN("STH 13/CHASE/HIGH ST INTERSECTIONS")</f>
        <v>STH 13/CHASE/HIGH ST INTERSECTIONS</v>
      </c>
      <c r="G1502" s="3" t="str">
        <f>CLEAN("ITS/CONST/STANDALONE PROGRAM")</f>
        <v>ITS/CONST/STANDALONE PROGRAM</v>
      </c>
      <c r="H1502" s="2" t="str">
        <f>CLEAN("STH 013")</f>
        <v>STH 013</v>
      </c>
      <c r="I1502" s="2" t="str">
        <f>CLEAN("305")</f>
        <v>305</v>
      </c>
    </row>
    <row r="1503" spans="1:9" x14ac:dyDescent="0.35">
      <c r="A1503" s="2" t="str">
        <f t="shared" si="242"/>
        <v>WOOD</v>
      </c>
      <c r="B1503" s="2" t="str">
        <f t="shared" si="243"/>
        <v>CITY OF WISCONSIN RAPIDS</v>
      </c>
      <c r="C1503" s="2" t="s">
        <v>3374</v>
      </c>
      <c r="D1503" s="2" t="str">
        <f>CLEAN("3700-40-46")</f>
        <v>3700-40-46</v>
      </c>
      <c r="E1503" s="3" t="str">
        <f>CLEAN("C WI RAPIDS  SIGNAL REHABILITATION")</f>
        <v>C WI RAPIDS  SIGNAL REHABILITATION</v>
      </c>
      <c r="F1503" s="3" t="str">
        <f>CLEAN("VARIOUS INTERSECTIONS")</f>
        <v>VARIOUS INTERSECTIONS</v>
      </c>
      <c r="G1503" s="3" t="str">
        <f>CLEAN("TRF OPS/ITS/STANDALONE PROGRAM")</f>
        <v>TRF OPS/ITS/STANDALONE PROGRAM</v>
      </c>
      <c r="H1503" s="2" t="str">
        <f>CLEAN("VAR HWY")</f>
        <v>VAR HWY</v>
      </c>
      <c r="I1503" s="2" t="str">
        <f>CLEAN("305")</f>
        <v>305</v>
      </c>
    </row>
    <row r="1504" spans="1:9" x14ac:dyDescent="0.35">
      <c r="A1504" s="2" t="str">
        <f t="shared" si="242"/>
        <v>WOOD</v>
      </c>
      <c r="B1504" s="2" t="str">
        <f t="shared" si="243"/>
        <v>CITY OF WISCONSIN RAPIDS</v>
      </c>
      <c r="C1504" s="2" t="s">
        <v>1917</v>
      </c>
      <c r="D1504" s="2" t="str">
        <f>CLEAN("6140-04-00")</f>
        <v>6140-04-00</v>
      </c>
      <c r="E1504" s="3" t="str">
        <f>CLEAN("C WI RAPIDS  RIVERVIEW EXPRESS WAY")</f>
        <v>C WI RAPIDS  RIVERVIEW EXPRESS WAY</v>
      </c>
      <c r="F1504" s="3" t="str">
        <f>CLEAN("LINCOLN STREET TO GRAND AVE")</f>
        <v>LINCOLN STREET TO GRAND AVE</v>
      </c>
      <c r="G1504" s="3" t="str">
        <f>CLEAN("DESIGN/FULL PSE/PVRPLA")</f>
        <v>DESIGN/FULL PSE/PVRPLA</v>
      </c>
      <c r="H1504" s="2" t="str">
        <f>CLEAN("STH 013")</f>
        <v>STH 013</v>
      </c>
      <c r="I1504" s="2" t="str">
        <f>CLEAN("303")</f>
        <v>303</v>
      </c>
    </row>
    <row r="1505" spans="1:9" x14ac:dyDescent="0.35">
      <c r="A1505" s="2" t="str">
        <f t="shared" si="242"/>
        <v>WOOD</v>
      </c>
      <c r="B1505" s="2" t="str">
        <f t="shared" si="243"/>
        <v>CITY OF WISCONSIN RAPIDS</v>
      </c>
      <c r="C1505" s="2" t="s">
        <v>1916</v>
      </c>
      <c r="D1505" s="2" t="str">
        <f>CLEAN("6390-00-09")</f>
        <v>6390-00-09</v>
      </c>
      <c r="E1505" s="3" t="str">
        <f>CLEAN("C WI RAPIDS  RIVERVIEW EXPRESS WAY")</f>
        <v>C WI RAPIDS  RIVERVIEW EXPRESS WAY</v>
      </c>
      <c r="F1505" s="3" t="str">
        <f>CLEAN("LINCOLN STREET TO CTH W")</f>
        <v>LINCOLN STREET TO CTH W</v>
      </c>
      <c r="G1505" s="3" t="str">
        <f>CLEAN("DESIGN/FULL PSE/PVRPLA")</f>
        <v>DESIGN/FULL PSE/PVRPLA</v>
      </c>
      <c r="H1505" s="2" t="str">
        <f>CLEAN("STH 054")</f>
        <v>STH 054</v>
      </c>
      <c r="I1505" s="2" t="str">
        <f>CLEAN("303")</f>
        <v>303</v>
      </c>
    </row>
    <row r="1506" spans="1:9" x14ac:dyDescent="0.35">
      <c r="A1506" s="2" t="str">
        <f t="shared" si="242"/>
        <v>WOOD</v>
      </c>
      <c r="B1506" s="2" t="str">
        <f t="shared" si="243"/>
        <v>CITY OF WISCONSIN RAPIDS</v>
      </c>
      <c r="C1506" s="2" t="s">
        <v>539</v>
      </c>
      <c r="D1506" s="2" t="str">
        <f>CLEAN("6999-11-86")</f>
        <v>6999-11-86</v>
      </c>
      <c r="E1506" s="3" t="str">
        <f>CLEAN("WI RAPIDS RAIL XING OPTIMIZATION")</f>
        <v>WI RAPIDS RAIL XING OPTIMIZATION</v>
      </c>
      <c r="F1506" s="3" t="str">
        <f>CLEAN("VARIOUS STREET LOCATIONS")</f>
        <v>VARIOUS STREET LOCATIONS</v>
      </c>
      <c r="G1506" s="3" t="str">
        <f>CLEAN("CONST/CRP/MISC")</f>
        <v>CONST/CRP/MISC</v>
      </c>
      <c r="H1506" s="2" t="str">
        <f>CLEAN("LOC STR")</f>
        <v>LOC STR</v>
      </c>
      <c r="I1506" s="2" t="str">
        <f>CLEAN("206")</f>
        <v>206</v>
      </c>
    </row>
    <row r="1507" spans="1:9" x14ac:dyDescent="0.35">
      <c r="A1507" s="2" t="str">
        <f t="shared" ref="A1507:A1526" si="244">CLEAN("CLARK")</f>
        <v>CLARK</v>
      </c>
      <c r="B1507" s="2" t="str">
        <f t="shared" ref="B1507:B1526" si="245">CLEAN("CLARK COUNTY")</f>
        <v>CLARK COUNTY</v>
      </c>
      <c r="C1507" s="2" t="s">
        <v>1851</v>
      </c>
      <c r="D1507" s="2" t="str">
        <f>CLEAN("7834-03-02")</f>
        <v>7834-03-02</v>
      </c>
      <c r="E1507" s="3" t="str">
        <f>CLEAN("WCL - CTH M")</f>
        <v>WCL - CTH M</v>
      </c>
      <c r="F1507" s="3" t="str">
        <f>CLEAN("ROGER CREEK BRIDGE P100057")</f>
        <v>ROGER CREEK BRIDGE P100057</v>
      </c>
      <c r="G1507" s="3" t="str">
        <f>CLEAN("DESIGN/BRRPL")</f>
        <v>DESIGN/BRRPL</v>
      </c>
      <c r="H1507" s="2" t="str">
        <f>CLEAN("CTH NN")</f>
        <v>CTH NN</v>
      </c>
      <c r="I1507" s="2" t="str">
        <f>CLEAN("205")</f>
        <v>205</v>
      </c>
    </row>
    <row r="1508" spans="1:9" x14ac:dyDescent="0.35">
      <c r="A1508" s="2" t="str">
        <f t="shared" si="244"/>
        <v>CLARK</v>
      </c>
      <c r="B1508" s="2" t="str">
        <f t="shared" si="245"/>
        <v>CLARK COUNTY</v>
      </c>
      <c r="C1508" s="2" t="s">
        <v>1852</v>
      </c>
      <c r="D1508" s="2" t="str">
        <f>CLEAN("7834-03-03")</f>
        <v>7834-03-03</v>
      </c>
      <c r="E1508" s="3" t="str">
        <f>CLEAN("CTH M - STH 73")</f>
        <v>CTH M - STH 73</v>
      </c>
      <c r="F1508" s="3" t="str">
        <f>CLEAN("S FK EAU CLAIRE RIVER BR B100015")</f>
        <v>S FK EAU CLAIRE RIVER BR B100015</v>
      </c>
      <c r="G1508" s="3" t="str">
        <f>CLEAN("DESIGN/BRRPL")</f>
        <v>DESIGN/BRRPL</v>
      </c>
      <c r="H1508" s="2" t="str">
        <f>CLEAN("CTH N")</f>
        <v>CTH N</v>
      </c>
      <c r="I1508" s="2" t="str">
        <f>CLEAN("205")</f>
        <v>205</v>
      </c>
    </row>
    <row r="1509" spans="1:9" x14ac:dyDescent="0.35">
      <c r="A1509" s="2" t="str">
        <f t="shared" si="244"/>
        <v>CLARK</v>
      </c>
      <c r="B1509" s="2" t="str">
        <f t="shared" si="245"/>
        <v>CLARK COUNTY</v>
      </c>
      <c r="C1509" s="2" t="s">
        <v>1811</v>
      </c>
      <c r="D1509" s="2" t="str">
        <f>CLEAN("7839-03-01")</f>
        <v>7839-03-01</v>
      </c>
      <c r="E1509" s="3" t="str">
        <f>CLEAN("CTH I - THORP")</f>
        <v>CTH I - THORP</v>
      </c>
      <c r="F1509" s="3" t="str">
        <f>CLEAN("S FORK EAU CLAIRE RVR BRDG B100034")</f>
        <v>S FORK EAU CLAIRE RVR BRDG B100034</v>
      </c>
      <c r="G1509" s="3" t="str">
        <f>CLEAN("DESIGN/BRIDGE REPLACEMENT")</f>
        <v>DESIGN/BRIDGE REPLACEMENT</v>
      </c>
      <c r="H1509" s="2" t="str">
        <f>CLEAN("CTH M")</f>
        <v>CTH M</v>
      </c>
      <c r="I1509" s="2" t="str">
        <f>CLEAN("205")</f>
        <v>205</v>
      </c>
    </row>
    <row r="1510" spans="1:9" x14ac:dyDescent="0.35">
      <c r="A1510" s="2" t="str">
        <f t="shared" si="244"/>
        <v>CLARK</v>
      </c>
      <c r="B1510" s="2" t="str">
        <f t="shared" si="245"/>
        <v>CLARK COUNTY</v>
      </c>
      <c r="C1510" s="2" t="s">
        <v>1749</v>
      </c>
      <c r="D1510" s="2" t="str">
        <f>CLEAN("7840-03-03")</f>
        <v>7840-03-03</v>
      </c>
      <c r="E1510" s="3" t="str">
        <f>CLEAN("USH 10 - GREENWOOD")</f>
        <v>USH 10 - GREENWOOD</v>
      </c>
      <c r="F1510" s="3" t="str">
        <f>CLEAN("BLACK RIVER BRIDGE B-10-0378")</f>
        <v>BLACK RIVER BRIDGE B-10-0378</v>
      </c>
      <c r="G1510" s="3" t="str">
        <f>CLEAN("DESIGN/BRIDGE REPLACEMENT")</f>
        <v>DESIGN/BRIDGE REPLACEMENT</v>
      </c>
      <c r="H1510" s="2" t="str">
        <f>CLEAN("CTH G")</f>
        <v>CTH G</v>
      </c>
      <c r="I1510" s="2" t="str">
        <f>CLEAN("205")</f>
        <v>205</v>
      </c>
    </row>
    <row r="1511" spans="1:9" x14ac:dyDescent="0.35">
      <c r="A1511" s="2" t="str">
        <f t="shared" si="244"/>
        <v>CLARK</v>
      </c>
      <c r="B1511" s="2" t="str">
        <f t="shared" si="245"/>
        <v>CLARK COUNTY</v>
      </c>
      <c r="C1511" s="2" t="s">
        <v>1553</v>
      </c>
      <c r="D1511" s="2" t="str">
        <f>CLEAN("7849-03-04")</f>
        <v>7849-03-04</v>
      </c>
      <c r="E1511" s="3" t="str">
        <f>CLEAN("GLOBE - EAST COUNTY LINE")</f>
        <v>GLOBE - EAST COUNTY LINE</v>
      </c>
      <c r="F1511" s="3" t="str">
        <f>CLEAN("CTH K INTERSECTION")</f>
        <v>CTH K INTERSECTION</v>
      </c>
      <c r="G1511" s="3" t="str">
        <f>CLEAN("DESIGN - FULL PS&amp;E SAFETY")</f>
        <v>DESIGN - FULL PS&amp;E SAFETY</v>
      </c>
      <c r="H1511" s="2" t="str">
        <f>CLEAN("CTH H")</f>
        <v>CTH H</v>
      </c>
      <c r="I1511" s="2" t="str">
        <f>CLEAN("206")</f>
        <v>206</v>
      </c>
    </row>
    <row r="1512" spans="1:9" x14ac:dyDescent="0.35">
      <c r="A1512" s="2" t="str">
        <f t="shared" si="244"/>
        <v>CLARK</v>
      </c>
      <c r="B1512" s="2" t="str">
        <f t="shared" si="245"/>
        <v>CLARK COUNTY</v>
      </c>
      <c r="C1512" s="2" t="s">
        <v>1659</v>
      </c>
      <c r="D1512" s="2" t="str">
        <f>CLEAN("7857-05-01")</f>
        <v>7857-05-01</v>
      </c>
      <c r="E1512" s="3" t="str">
        <f>CLEAN("SCL - STH 95")</f>
        <v>SCL - STH 95</v>
      </c>
      <c r="F1512" s="3" t="str">
        <f>CLEAN("CTH K TO STH 95")</f>
        <v>CTH K TO STH 95</v>
      </c>
      <c r="G1512" s="3" t="str">
        <f>CLEAN("DESIGN - FULL PS&amp;E/RECST")</f>
        <v>DESIGN - FULL PS&amp;E/RECST</v>
      </c>
      <c r="H1512" s="2" t="str">
        <f>CLEAN("CTH J")</f>
        <v>CTH J</v>
      </c>
      <c r="I1512" s="2" t="str">
        <f>CLEAN("206")</f>
        <v>206</v>
      </c>
    </row>
    <row r="1513" spans="1:9" x14ac:dyDescent="0.35">
      <c r="A1513" s="2" t="str">
        <f t="shared" si="244"/>
        <v>CLARK</v>
      </c>
      <c r="B1513" s="2" t="str">
        <f t="shared" si="245"/>
        <v>CLARK COUNTY</v>
      </c>
      <c r="C1513" s="2" t="s">
        <v>1426</v>
      </c>
      <c r="D1513" s="2" t="str">
        <f>CLEAN("8880-05-06")</f>
        <v>8880-05-06</v>
      </c>
      <c r="E1513" s="3" t="str">
        <f>CLEAN("CTH E - DORCHESTER")</f>
        <v>CTH E - DORCHESTER</v>
      </c>
      <c r="F1513" s="3" t="str">
        <f>CLEAN("BR N FORK POPPLE RVR BR P-10-0029")</f>
        <v>BR N FORK POPPLE RVR BR P-10-0029</v>
      </c>
      <c r="G1513" s="3" t="str">
        <f>CLEAN("DESIGN - FULL PS&amp;E BRRPL")</f>
        <v>DESIGN - FULL PS&amp;E BRRPL</v>
      </c>
      <c r="H1513" s="2" t="str">
        <f>CLEAN("CTH A")</f>
        <v>CTH A</v>
      </c>
      <c r="I1513" s="2" t="str">
        <f>CLEAN("205")</f>
        <v>205</v>
      </c>
    </row>
    <row r="1514" spans="1:9" x14ac:dyDescent="0.35">
      <c r="A1514" s="2" t="str">
        <f t="shared" si="244"/>
        <v>CLARK</v>
      </c>
      <c r="B1514" s="2" t="str">
        <f t="shared" si="245"/>
        <v>CLARK COUNTY</v>
      </c>
      <c r="C1514" s="2" t="s">
        <v>1270</v>
      </c>
      <c r="D1514" s="2" t="str">
        <f>CLEAN("7834-03-73")</f>
        <v>7834-03-73</v>
      </c>
      <c r="E1514" s="3" t="str">
        <f>CLEAN("CTH M - STH 73")</f>
        <v>CTH M - STH 73</v>
      </c>
      <c r="F1514" s="3" t="str">
        <f>CLEAN("S FK EAU CLAIRE RIVER BR B-10-0387")</f>
        <v>S FK EAU CLAIRE RIVER BR B-10-0387</v>
      </c>
      <c r="G1514" s="3" t="str">
        <f>CLEAN("CONSTRUCTION/BRRPL")</f>
        <v>CONSTRUCTION/BRRPL</v>
      </c>
      <c r="H1514" s="2" t="str">
        <f>CLEAN("CTH N")</f>
        <v>CTH N</v>
      </c>
      <c r="I1514" s="2" t="str">
        <f>CLEAN("205")</f>
        <v>205</v>
      </c>
    </row>
    <row r="1515" spans="1:9" x14ac:dyDescent="0.35">
      <c r="A1515" s="2" t="str">
        <f t="shared" si="244"/>
        <v>CLARK</v>
      </c>
      <c r="B1515" s="2" t="str">
        <f t="shared" si="245"/>
        <v>CLARK COUNTY</v>
      </c>
      <c r="C1515" s="2" t="s">
        <v>1581</v>
      </c>
      <c r="D1515" s="2" t="str">
        <f>CLEAN("7837-00-02")</f>
        <v>7837-00-02</v>
      </c>
      <c r="E1515" s="3" t="str">
        <f>CLEAN("T COLBY  HI LINE AVENUE")</f>
        <v>T COLBY  HI LINE AVENUE</v>
      </c>
      <c r="F1515" s="3" t="str">
        <f>CLEAN("DILL CREEK BRIDGE P-10-0926")</f>
        <v>DILL CREEK BRIDGE P-10-0926</v>
      </c>
      <c r="G1515" s="3" t="str">
        <f>CLEAN("DESIGN - FULL PS&amp;E/BRRPL")</f>
        <v>DESIGN - FULL PS&amp;E/BRRPL</v>
      </c>
      <c r="H1515" s="2" t="str">
        <f>CLEAN("LOC STR")</f>
        <v>LOC STR</v>
      </c>
      <c r="I1515" s="2" t="str">
        <f>CLEAN("205")</f>
        <v>205</v>
      </c>
    </row>
    <row r="1516" spans="1:9" x14ac:dyDescent="0.35">
      <c r="A1516" s="2" t="str">
        <f t="shared" si="244"/>
        <v>CLARK</v>
      </c>
      <c r="B1516" s="2" t="str">
        <f t="shared" si="245"/>
        <v>CLARK COUNTY</v>
      </c>
      <c r="C1516" s="2" t="s">
        <v>1206</v>
      </c>
      <c r="D1516" s="2" t="str">
        <f>CLEAN("7839-03-71")</f>
        <v>7839-03-71</v>
      </c>
      <c r="E1516" s="3" t="str">
        <f>CLEAN("CTH I - THORP")</f>
        <v>CTH I - THORP</v>
      </c>
      <c r="F1516" s="3" t="str">
        <f>CLEAN("S FORK EAU CLAIRE RVR BRDG B100397")</f>
        <v>S FORK EAU CLAIRE RVR BRDG B100397</v>
      </c>
      <c r="G1516" s="3" t="str">
        <f>CLEAN("CONSTRUCTION/BRIDGE REPLACEMENT")</f>
        <v>CONSTRUCTION/BRIDGE REPLACEMENT</v>
      </c>
      <c r="H1516" s="2" t="str">
        <f>CLEAN("CTH M")</f>
        <v>CTH M</v>
      </c>
      <c r="I1516" s="2" t="str">
        <f>CLEAN("205")</f>
        <v>205</v>
      </c>
    </row>
    <row r="1517" spans="1:9" x14ac:dyDescent="0.35">
      <c r="A1517" s="2" t="str">
        <f t="shared" si="244"/>
        <v>CLARK</v>
      </c>
      <c r="B1517" s="2" t="str">
        <f t="shared" si="245"/>
        <v>CLARK COUNTY</v>
      </c>
      <c r="C1517" s="2" t="s">
        <v>1160</v>
      </c>
      <c r="D1517" s="2" t="str">
        <f>CLEAN("7840-03-73")</f>
        <v>7840-03-73</v>
      </c>
      <c r="E1517" s="3" t="str">
        <f>CLEAN("USH 10 - GREENWOOD")</f>
        <v>USH 10 - GREENWOOD</v>
      </c>
      <c r="F1517" s="3" t="str">
        <f>CLEAN("BLACK RIVER BRIDGE B-10-0398")</f>
        <v>BLACK RIVER BRIDGE B-10-0398</v>
      </c>
      <c r="G1517" s="3" t="str">
        <f>CLEAN("CONSTRUCTION/BRIDGE REPLACEMENT")</f>
        <v>CONSTRUCTION/BRIDGE REPLACEMENT</v>
      </c>
      <c r="H1517" s="2" t="str">
        <f>CLEAN("CTH G")</f>
        <v>CTH G</v>
      </c>
      <c r="I1517" s="2" t="str">
        <f>CLEAN("205")</f>
        <v>205</v>
      </c>
    </row>
    <row r="1518" spans="1:9" x14ac:dyDescent="0.35">
      <c r="A1518" s="2" t="str">
        <f t="shared" si="244"/>
        <v>CLARK</v>
      </c>
      <c r="B1518" s="2" t="str">
        <f t="shared" si="245"/>
        <v>CLARK COUNTY</v>
      </c>
      <c r="C1518" s="2" t="s">
        <v>1372</v>
      </c>
      <c r="D1518" s="2" t="str">
        <f>CLEAN("7849-03-74")</f>
        <v>7849-03-74</v>
      </c>
      <c r="E1518" s="3" t="str">
        <f>CLEAN("GLOBE - EAST COUNTY LINE")</f>
        <v>GLOBE - EAST COUNTY LINE</v>
      </c>
      <c r="F1518" s="3" t="str">
        <f>CLEAN("CTH K INTERSECTION")</f>
        <v>CTH K INTERSECTION</v>
      </c>
      <c r="G1518" s="3" t="str">
        <f>CLEAN("CONSTRUCTION/SAFETY")</f>
        <v>CONSTRUCTION/SAFETY</v>
      </c>
      <c r="H1518" s="2" t="str">
        <f>CLEAN("CTH H")</f>
        <v>CTH H</v>
      </c>
      <c r="I1518" s="2" t="str">
        <f>CLEAN("206")</f>
        <v>206</v>
      </c>
    </row>
    <row r="1519" spans="1:9" x14ac:dyDescent="0.35">
      <c r="A1519" s="2" t="str">
        <f t="shared" si="244"/>
        <v>CLARK</v>
      </c>
      <c r="B1519" s="2" t="str">
        <f t="shared" si="245"/>
        <v>CLARK COUNTY</v>
      </c>
      <c r="C1519" s="2" t="s">
        <v>1515</v>
      </c>
      <c r="D1519" s="2" t="str">
        <f>CLEAN("7856-03-00")</f>
        <v>7856-03-00</v>
      </c>
      <c r="E1519" s="3" t="str">
        <f>CLEAN("STH 73 - USH 10")</f>
        <v>STH 73 - USH 10</v>
      </c>
      <c r="F1519" s="3" t="str">
        <f>CLEAN("STH 73 TO USH 10")</f>
        <v>STH 73 TO USH 10</v>
      </c>
      <c r="G1519" s="3" t="str">
        <f>CLEAN("DESIGN - FULL PS&amp;E PVRPLA")</f>
        <v>DESIGN - FULL PS&amp;E PVRPLA</v>
      </c>
      <c r="H1519" s="2" t="str">
        <f>CLEAN("CTH W")</f>
        <v>CTH W</v>
      </c>
      <c r="I1519" s="2" t="str">
        <f>CLEAN("206")</f>
        <v>206</v>
      </c>
    </row>
    <row r="1520" spans="1:9" x14ac:dyDescent="0.35">
      <c r="A1520" s="2" t="str">
        <f t="shared" si="244"/>
        <v>CLARK</v>
      </c>
      <c r="B1520" s="2" t="str">
        <f t="shared" si="245"/>
        <v>CLARK COUNTY</v>
      </c>
      <c r="C1520" s="2" t="s">
        <v>1163</v>
      </c>
      <c r="D1520" s="2" t="str">
        <f>CLEAN("8880-05-76")</f>
        <v>8880-05-76</v>
      </c>
      <c r="E1520" s="3" t="str">
        <f>CLEAN("CTH E - DORCHESTER")</f>
        <v>CTH E - DORCHESTER</v>
      </c>
      <c r="F1520" s="3" t="str">
        <f>CLEAN("BR N FORK POPPLE RVR BR B-10-0261")</f>
        <v>BR N FORK POPPLE RVR BR B-10-0261</v>
      </c>
      <c r="G1520" s="3" t="str">
        <f>CLEAN("CONSTRUCTION/BRIDGE REPLACEMENT")</f>
        <v>CONSTRUCTION/BRIDGE REPLACEMENT</v>
      </c>
      <c r="H1520" s="2" t="str">
        <f>CLEAN("CTH A")</f>
        <v>CTH A</v>
      </c>
      <c r="I1520" s="2" t="str">
        <f t="shared" ref="I1520:I1527" si="246">CLEAN("205")</f>
        <v>205</v>
      </c>
    </row>
    <row r="1521" spans="1:9" x14ac:dyDescent="0.35">
      <c r="A1521" s="2" t="str">
        <f t="shared" si="244"/>
        <v>CLARK</v>
      </c>
      <c r="B1521" s="2" t="str">
        <f t="shared" si="245"/>
        <v>CLARK COUNTY</v>
      </c>
      <c r="C1521" s="2" t="s">
        <v>1606</v>
      </c>
      <c r="D1521" s="2" t="str">
        <f>CLEAN("8881-00-01")</f>
        <v>8881-00-01</v>
      </c>
      <c r="E1521" s="3" t="str">
        <f>CLEAN("T HOARD  BRIDGE ROAD")</f>
        <v>T HOARD  BRIDGE ROAD</v>
      </c>
      <c r="F1521" s="3" t="str">
        <f>CLEAN("POPPLE RIVER BRIDGE P-10-0073")</f>
        <v>POPPLE RIVER BRIDGE P-10-0073</v>
      </c>
      <c r="G1521" s="3" t="str">
        <f>CLEAN("DESIGN - FULL PS&amp;E/BRRPL")</f>
        <v>DESIGN - FULL PS&amp;E/BRRPL</v>
      </c>
      <c r="H1521" s="2" t="str">
        <f t="shared" ref="H1521:H1527" si="247">CLEAN("LOC STR")</f>
        <v>LOC STR</v>
      </c>
      <c r="I1521" s="2" t="str">
        <f t="shared" si="246"/>
        <v>205</v>
      </c>
    </row>
    <row r="1522" spans="1:9" x14ac:dyDescent="0.35">
      <c r="A1522" s="2" t="str">
        <f t="shared" si="244"/>
        <v>CLARK</v>
      </c>
      <c r="B1522" s="2" t="str">
        <f t="shared" si="245"/>
        <v>CLARK COUNTY</v>
      </c>
      <c r="C1522" s="2" t="s">
        <v>1602</v>
      </c>
      <c r="D1522" s="2" t="str">
        <f>CLEAN("8881-00-02")</f>
        <v>8881-00-02</v>
      </c>
      <c r="E1522" s="3" t="str">
        <f>CLEAN("T HOARD  CENTER ROAD")</f>
        <v>T HOARD  CENTER ROAD</v>
      </c>
      <c r="F1522" s="3" t="str">
        <f>CLEAN("N FK POPPLE RIVER BRIDGE P-10-0075")</f>
        <v>N FK POPPLE RIVER BRIDGE P-10-0075</v>
      </c>
      <c r="G1522" s="3" t="str">
        <f>CLEAN("DESIGN - FULL PS&amp;E/BRRPL")</f>
        <v>DESIGN - FULL PS&amp;E/BRRPL</v>
      </c>
      <c r="H1522" s="2" t="str">
        <f t="shared" si="247"/>
        <v>LOC STR</v>
      </c>
      <c r="I1522" s="2" t="str">
        <f t="shared" si="246"/>
        <v>205</v>
      </c>
    </row>
    <row r="1523" spans="1:9" x14ac:dyDescent="0.35">
      <c r="A1523" s="2" t="str">
        <f t="shared" si="244"/>
        <v>CLARK</v>
      </c>
      <c r="B1523" s="2" t="str">
        <f t="shared" si="245"/>
        <v>CLARK COUNTY</v>
      </c>
      <c r="C1523" s="2" t="s">
        <v>1265</v>
      </c>
      <c r="D1523" s="2" t="str">
        <f>CLEAN("8881-00-71")</f>
        <v>8881-00-71</v>
      </c>
      <c r="E1523" s="3" t="str">
        <f>CLEAN("T HOARD  BRIDGE ROAD")</f>
        <v>T HOARD  BRIDGE ROAD</v>
      </c>
      <c r="F1523" s="3" t="str">
        <f>CLEAN("POPPLE RIVER BRIDGE B-10-0260")</f>
        <v>POPPLE RIVER BRIDGE B-10-0260</v>
      </c>
      <c r="G1523" s="3" t="str">
        <f>CLEAN("CONSTRUCTION/BRRPL")</f>
        <v>CONSTRUCTION/BRRPL</v>
      </c>
      <c r="H1523" s="2" t="str">
        <f t="shared" si="247"/>
        <v>LOC STR</v>
      </c>
      <c r="I1523" s="2" t="str">
        <f t="shared" si="246"/>
        <v>205</v>
      </c>
    </row>
    <row r="1524" spans="1:9" x14ac:dyDescent="0.35">
      <c r="A1524" s="2" t="str">
        <f t="shared" si="244"/>
        <v>CLARK</v>
      </c>
      <c r="B1524" s="2" t="str">
        <f t="shared" si="245"/>
        <v>CLARK COUNTY</v>
      </c>
      <c r="C1524" s="2" t="s">
        <v>1255</v>
      </c>
      <c r="D1524" s="2" t="str">
        <f>CLEAN("8881-00-72")</f>
        <v>8881-00-72</v>
      </c>
      <c r="E1524" s="3" t="str">
        <f>CLEAN("T HOARD  CENTER ROAD")</f>
        <v>T HOARD  CENTER ROAD</v>
      </c>
      <c r="F1524" s="3" t="str">
        <f>CLEAN("N FK POPPLE RIVER BRIDGE B-10-0267")</f>
        <v>N FK POPPLE RIVER BRIDGE B-10-0267</v>
      </c>
      <c r="G1524" s="3" t="str">
        <f>CLEAN("CONSTRUCTION/BRRPL")</f>
        <v>CONSTRUCTION/BRRPL</v>
      </c>
      <c r="H1524" s="2" t="str">
        <f t="shared" si="247"/>
        <v>LOC STR</v>
      </c>
      <c r="I1524" s="2" t="str">
        <f t="shared" si="246"/>
        <v>205</v>
      </c>
    </row>
    <row r="1525" spans="1:9" x14ac:dyDescent="0.35">
      <c r="A1525" s="2" t="str">
        <f t="shared" si="244"/>
        <v>CLARK</v>
      </c>
      <c r="B1525" s="2" t="str">
        <f t="shared" si="245"/>
        <v>CLARK COUNTY</v>
      </c>
      <c r="C1525" s="2" t="s">
        <v>1610</v>
      </c>
      <c r="D1525" s="2" t="str">
        <f>CLEAN("8883-00-01")</f>
        <v>8883-00-01</v>
      </c>
      <c r="E1525" s="3" t="str">
        <f>CLEAN("T WITHEE  WILLOW ROAD")</f>
        <v>T WITHEE  WILLOW ROAD</v>
      </c>
      <c r="F1525" s="3" t="str">
        <f>CLEAN("S FK EAU CLAIRE RIVER BR P-10-0925")</f>
        <v>S FK EAU CLAIRE RIVER BR P-10-0925</v>
      </c>
      <c r="G1525" s="3" t="str">
        <f>CLEAN("DESIGN - FULL PS&amp;E/BRRPL")</f>
        <v>DESIGN - FULL PS&amp;E/BRRPL</v>
      </c>
      <c r="H1525" s="2" t="str">
        <f t="shared" si="247"/>
        <v>LOC STR</v>
      </c>
      <c r="I1525" s="2" t="str">
        <f t="shared" si="246"/>
        <v>205</v>
      </c>
    </row>
    <row r="1526" spans="1:9" x14ac:dyDescent="0.35">
      <c r="A1526" s="2" t="str">
        <f t="shared" si="244"/>
        <v>CLARK</v>
      </c>
      <c r="B1526" s="2" t="str">
        <f t="shared" si="245"/>
        <v>CLARK COUNTY</v>
      </c>
      <c r="C1526" s="2" t="s">
        <v>1269</v>
      </c>
      <c r="D1526" s="2" t="str">
        <f>CLEAN("8883-00-71")</f>
        <v>8883-00-71</v>
      </c>
      <c r="E1526" s="3" t="str">
        <f>CLEAN("T WITHEE  WILLOW ROAD")</f>
        <v>T WITHEE  WILLOW ROAD</v>
      </c>
      <c r="F1526" s="3" t="str">
        <f>CLEAN("S FK EAU CLAIRE RIVER BR B-10-0269")</f>
        <v>S FK EAU CLAIRE RIVER BR B-10-0269</v>
      </c>
      <c r="G1526" s="3" t="str">
        <f>CLEAN("CONSTRUCTION/BRRPL")</f>
        <v>CONSTRUCTION/BRRPL</v>
      </c>
      <c r="H1526" s="2" t="str">
        <f t="shared" si="247"/>
        <v>LOC STR</v>
      </c>
      <c r="I1526" s="2" t="str">
        <f t="shared" si="246"/>
        <v>205</v>
      </c>
    </row>
    <row r="1527" spans="1:9" x14ac:dyDescent="0.35">
      <c r="A1527" s="2" t="str">
        <f t="shared" ref="A1527:A1548" si="248">CLEAN("COLUMBIA")</f>
        <v>COLUMBIA</v>
      </c>
      <c r="B1527" s="2" t="str">
        <f t="shared" ref="B1527:B1548" si="249">CLEAN("COLUMBIA COUNTY")</f>
        <v>COLUMBIA COUNTY</v>
      </c>
      <c r="C1527" s="2" t="s">
        <v>1438</v>
      </c>
      <c r="D1527" s="2" t="str">
        <f>CLEAN("6217-01-03")</f>
        <v>6217-01-03</v>
      </c>
      <c r="E1527" s="3" t="str">
        <f>CLEAN("T COLUMBUS  HALL RD")</f>
        <v>T COLUMBUS  HALL RD</v>
      </c>
      <c r="F1527" s="3" t="str">
        <f>CLEAN("CRAWFISH RIVER BRIDGE P-11-0091")</f>
        <v>CRAWFISH RIVER BRIDGE P-11-0091</v>
      </c>
      <c r="G1527" s="3" t="str">
        <f>CLEAN("DESIGN - FULL PS&amp;E BRRPL")</f>
        <v>DESIGN - FULL PS&amp;E BRRPL</v>
      </c>
      <c r="H1527" s="2" t="str">
        <f t="shared" si="247"/>
        <v>LOC STR</v>
      </c>
      <c r="I1527" s="2" t="str">
        <f t="shared" si="246"/>
        <v>205</v>
      </c>
    </row>
    <row r="1528" spans="1:9" x14ac:dyDescent="0.35">
      <c r="A1528" s="2" t="str">
        <f t="shared" si="248"/>
        <v>COLUMBIA</v>
      </c>
      <c r="B1528" s="2" t="str">
        <f t="shared" si="249"/>
        <v>COLUMBIA COUNTY</v>
      </c>
      <c r="C1528" s="2" t="s">
        <v>1551</v>
      </c>
      <c r="D1528" s="2" t="str">
        <f>CLEAN("6996-05-17")</f>
        <v>6996-05-17</v>
      </c>
      <c r="E1528" s="3" t="str">
        <f>CLEAN("C PORTAGE  CTH CX")</f>
        <v>C PORTAGE  CTH CX</v>
      </c>
      <c r="F1528" s="3" t="str">
        <f>CLEAN("SILVER LAKE DRIVE TO C PORTAGE")</f>
        <v>SILVER LAKE DRIVE TO C PORTAGE</v>
      </c>
      <c r="G1528" s="3" t="str">
        <f>CLEAN("DESIGN - FULL PS&amp;E REVIEW/PVRPLA")</f>
        <v>DESIGN - FULL PS&amp;E REVIEW/PVRPLA</v>
      </c>
      <c r="H1528" s="2" t="str">
        <f>CLEAN("CTH CX")</f>
        <v>CTH CX</v>
      </c>
      <c r="I1528" s="2" t="str">
        <f>CLEAN("206")</f>
        <v>206</v>
      </c>
    </row>
    <row r="1529" spans="1:9" x14ac:dyDescent="0.35">
      <c r="A1529" s="2" t="str">
        <f t="shared" si="248"/>
        <v>COLUMBIA</v>
      </c>
      <c r="B1529" s="2" t="str">
        <f t="shared" si="249"/>
        <v>COLUMBIA COUNTY</v>
      </c>
      <c r="C1529" s="2" t="s">
        <v>1476</v>
      </c>
      <c r="D1529" s="2" t="str">
        <f>CLEAN("5053-00-01")</f>
        <v>5053-00-01</v>
      </c>
      <c r="E1529" s="3" t="str">
        <f>CLEAN("CTH A - C COLUMBUS")</f>
        <v>CTH A - C COLUMBUS</v>
      </c>
      <c r="F1529" s="3" t="str">
        <f>CLEAN("ROBBINS CREEK BRIDGE P-11-0912")</f>
        <v>ROBBINS CREEK BRIDGE P-11-0912</v>
      </c>
      <c r="G1529" s="3" t="str">
        <f>CLEAN("DESIGN - FULL PS&amp;E BRRPL")</f>
        <v>DESIGN - FULL PS&amp;E BRRPL</v>
      </c>
      <c r="H1529" s="2" t="str">
        <f>CLEAN("CTH K")</f>
        <v>CTH K</v>
      </c>
      <c r="I1529" s="2" t="str">
        <f>CLEAN("205")</f>
        <v>205</v>
      </c>
    </row>
    <row r="1530" spans="1:9" x14ac:dyDescent="0.35">
      <c r="A1530" s="2" t="str">
        <f t="shared" si="248"/>
        <v>COLUMBIA</v>
      </c>
      <c r="B1530" s="2" t="str">
        <f t="shared" si="249"/>
        <v>COLUMBIA COUNTY</v>
      </c>
      <c r="C1530" s="2" t="s">
        <v>1820</v>
      </c>
      <c r="D1530" s="2" t="str">
        <f>CLEAN("5432-00-02")</f>
        <v>5432-00-02</v>
      </c>
      <c r="E1530" s="3" t="str">
        <f>CLEAN("STH 146 - STH 73")</f>
        <v>STH 146 - STH 73</v>
      </c>
      <c r="F1530" s="3" t="str">
        <f>CLEAN("UPRR BRIDGE  P-11-0033")</f>
        <v>UPRR BRIDGE  P-11-0033</v>
      </c>
      <c r="G1530" s="3" t="str">
        <f>CLEAN("DESIGN/BRIDGE REPLACEMENT")</f>
        <v>DESIGN/BRIDGE REPLACEMENT</v>
      </c>
      <c r="H1530" s="2" t="str">
        <f>CLEAN("CTH A")</f>
        <v>CTH A</v>
      </c>
      <c r="I1530" s="2" t="str">
        <f>CLEAN("205")</f>
        <v>205</v>
      </c>
    </row>
    <row r="1531" spans="1:9" x14ac:dyDescent="0.35">
      <c r="A1531" s="2" t="str">
        <f t="shared" si="248"/>
        <v>COLUMBIA</v>
      </c>
      <c r="B1531" s="2" t="str">
        <f t="shared" si="249"/>
        <v>COLUMBIA COUNTY</v>
      </c>
      <c r="C1531" s="2" t="s">
        <v>1477</v>
      </c>
      <c r="D1531" s="2" t="str">
        <f>CLEAN("5653-00-01")</f>
        <v>5653-00-01</v>
      </c>
      <c r="E1531" s="3" t="str">
        <f>CLEAN("T DEKORRA - USH 51")</f>
        <v>T DEKORRA - USH 51</v>
      </c>
      <c r="F1531" s="3" t="str">
        <f>CLEAN("ROCKY RUN CREEK BRIDGE P-11-0037")</f>
        <v>ROCKY RUN CREEK BRIDGE P-11-0037</v>
      </c>
      <c r="G1531" s="3" t="str">
        <f>CLEAN("DESIGN - FULL PS&amp;E BRRPL")</f>
        <v>DESIGN - FULL PS&amp;E BRRPL</v>
      </c>
      <c r="H1531" s="2" t="str">
        <f>CLEAN("CTH J")</f>
        <v>CTH J</v>
      </c>
      <c r="I1531" s="2" t="str">
        <f>CLEAN("205")</f>
        <v>205</v>
      </c>
    </row>
    <row r="1532" spans="1:9" x14ac:dyDescent="0.35">
      <c r="A1532" s="2" t="str">
        <f t="shared" si="248"/>
        <v>COLUMBIA</v>
      </c>
      <c r="B1532" s="2" t="str">
        <f t="shared" si="249"/>
        <v>COLUMBIA COUNTY</v>
      </c>
      <c r="C1532" s="2" t="s">
        <v>3108</v>
      </c>
      <c r="D1532" s="2" t="str">
        <f>CLEAN("5843-00-50")</f>
        <v>5843-00-50</v>
      </c>
      <c r="E1532" s="3" t="str">
        <f>CLEAN("OKEE - HARMONEY ROAD")</f>
        <v>OKEE - HARMONEY ROAD</v>
      </c>
      <c r="F1532" s="3" t="str">
        <f>CLEAN("STH 113 TO RAPP ROAD")</f>
        <v>STH 113 TO RAPP ROAD</v>
      </c>
      <c r="G1532" s="3" t="str">
        <f>CLEAN("R/R OPS/ SIGNALS")</f>
        <v>R/R OPS/ SIGNALS</v>
      </c>
      <c r="H1532" s="2" t="str">
        <f>CLEAN("CTH V")</f>
        <v>CTH V</v>
      </c>
      <c r="I1532" s="2" t="str">
        <f>CLEAN("206")</f>
        <v>206</v>
      </c>
    </row>
    <row r="1533" spans="1:9" x14ac:dyDescent="0.35">
      <c r="A1533" s="2" t="str">
        <f t="shared" si="248"/>
        <v>COLUMBIA</v>
      </c>
      <c r="B1533" s="2" t="str">
        <f t="shared" si="249"/>
        <v>COLUMBIA COUNTY</v>
      </c>
      <c r="C1533" s="2" t="s">
        <v>3100</v>
      </c>
      <c r="D1533" s="2" t="str">
        <f>CLEAN("5843-00-51")</f>
        <v>5843-00-51</v>
      </c>
      <c r="E1533" s="3" t="str">
        <f>CLEAN("OKEE - HARMONEY ROAD")</f>
        <v>OKEE - HARMONEY ROAD</v>
      </c>
      <c r="F1533" s="3" t="str">
        <f>CLEAN("STH 113 TO RAPP ROAD")</f>
        <v>STH 113 TO RAPP ROAD</v>
      </c>
      <c r="G1533" s="3" t="str">
        <f>CLEAN("R/R OPS/ CROSSING")</f>
        <v>R/R OPS/ CROSSING</v>
      </c>
      <c r="H1533" s="2" t="str">
        <f>CLEAN("CTH V")</f>
        <v>CTH V</v>
      </c>
      <c r="I1533" s="2" t="str">
        <f>CLEAN("206")</f>
        <v>206</v>
      </c>
    </row>
    <row r="1534" spans="1:9" x14ac:dyDescent="0.35">
      <c r="A1534" s="2" t="str">
        <f t="shared" si="248"/>
        <v>COLUMBIA</v>
      </c>
      <c r="B1534" s="2" t="str">
        <f t="shared" si="249"/>
        <v>COLUMBIA COUNTY</v>
      </c>
      <c r="C1534" s="2" t="s">
        <v>1779</v>
      </c>
      <c r="D1534" s="2" t="str">
        <f>CLEAN("6040-00-05")</f>
        <v>6040-00-05</v>
      </c>
      <c r="E1534" s="3" t="str">
        <f>CLEAN("TOWN OF SCOTT  KOWALD ROAD")</f>
        <v>TOWN OF SCOTT  KOWALD ROAD</v>
      </c>
      <c r="F1534" s="3" t="str">
        <f>CLEAN("FOX RIVER BRIDGE  P-11-0046")</f>
        <v>FOX RIVER BRIDGE  P-11-0046</v>
      </c>
      <c r="G1534" s="3" t="str">
        <f>CLEAN("DESIGN/BRIDGE REPLACEMENT")</f>
        <v>DESIGN/BRIDGE REPLACEMENT</v>
      </c>
      <c r="H1534" s="2" t="str">
        <f>CLEAN("LOC STR")</f>
        <v>LOC STR</v>
      </c>
      <c r="I1534" s="2" t="str">
        <f>CLEAN("205")</f>
        <v>205</v>
      </c>
    </row>
    <row r="1535" spans="1:9" x14ac:dyDescent="0.35">
      <c r="A1535" s="2" t="str">
        <f t="shared" si="248"/>
        <v>COLUMBIA</v>
      </c>
      <c r="B1535" s="2" t="str">
        <f t="shared" si="249"/>
        <v>COLUMBIA COUNTY</v>
      </c>
      <c r="C1535" s="2" t="s">
        <v>436</v>
      </c>
      <c r="D1535" s="2" t="str">
        <f>CLEAN("6040-00-75")</f>
        <v>6040-00-75</v>
      </c>
      <c r="E1535" s="3" t="str">
        <f>CLEAN("TOWN OF SCOTT  KOWALD ROAD")</f>
        <v>TOWN OF SCOTT  KOWALD ROAD</v>
      </c>
      <c r="F1535" s="3" t="str">
        <f>CLEAN("FOX RIVER BRIDGE  B-11-0181")</f>
        <v>FOX RIVER BRIDGE  B-11-0181</v>
      </c>
      <c r="G1535" s="3" t="str">
        <f>CLEAN("CONST/BRIDGE REPLACEMENT")</f>
        <v>CONST/BRIDGE REPLACEMENT</v>
      </c>
      <c r="H1535" s="2" t="str">
        <f>CLEAN("LOC STR")</f>
        <v>LOC STR</v>
      </c>
      <c r="I1535" s="2" t="str">
        <f>CLEAN("205")</f>
        <v>205</v>
      </c>
    </row>
    <row r="1536" spans="1:9" x14ac:dyDescent="0.35">
      <c r="A1536" s="2" t="str">
        <f t="shared" si="248"/>
        <v>COLUMBIA</v>
      </c>
      <c r="B1536" s="2" t="str">
        <f t="shared" si="249"/>
        <v>COLUMBIA COUNTY</v>
      </c>
      <c r="C1536" s="2" t="s">
        <v>1540</v>
      </c>
      <c r="D1536" s="2" t="str">
        <f>CLEAN("6195-00-02")</f>
        <v>6195-00-02</v>
      </c>
      <c r="E1536" s="3" t="str">
        <f>CLEAN("STH 60 - POYNETTE (CTH Q)")</f>
        <v>STH 60 - POYNETTE (CTH Q)</v>
      </c>
      <c r="F1536" s="3" t="str">
        <f>CLEAN("STH 60 - CTH CS")</f>
        <v>STH 60 - CTH CS</v>
      </c>
      <c r="G1536" s="3" t="str">
        <f>CLEAN("DESIGN - FULL PS&amp;E RECST")</f>
        <v>DESIGN - FULL PS&amp;E RECST</v>
      </c>
      <c r="H1536" s="2" t="str">
        <f>CLEAN("CTH Q")</f>
        <v>CTH Q</v>
      </c>
      <c r="I1536" s="2" t="str">
        <f>CLEAN("206")</f>
        <v>206</v>
      </c>
    </row>
    <row r="1537" spans="1:9" x14ac:dyDescent="0.35">
      <c r="A1537" s="2" t="str">
        <f t="shared" si="248"/>
        <v>COLUMBIA</v>
      </c>
      <c r="B1537" s="2" t="str">
        <f t="shared" si="249"/>
        <v>COLUMBIA COUNTY</v>
      </c>
      <c r="C1537" s="2" t="s">
        <v>1822</v>
      </c>
      <c r="D1537" s="2" t="str">
        <f>CLEAN("6215-00-03")</f>
        <v>6215-00-03</v>
      </c>
      <c r="E1537" s="3" t="str">
        <f>CLEAN("TOWN OF SCOTT  INGLEHART RD")</f>
        <v>TOWN OF SCOTT  INGLEHART RD</v>
      </c>
      <c r="F1537" s="3" t="str">
        <f>CLEAN("UPRR BRIDGE  P-11-0044")</f>
        <v>UPRR BRIDGE  P-11-0044</v>
      </c>
      <c r="G1537" s="3" t="str">
        <f>CLEAN("DESIGN/BRIDGE REPLACEMENT")</f>
        <v>DESIGN/BRIDGE REPLACEMENT</v>
      </c>
      <c r="H1537" s="2" t="str">
        <f t="shared" ref="H1537:H1543" si="250">CLEAN("LOC STR")</f>
        <v>LOC STR</v>
      </c>
      <c r="I1537" s="2" t="str">
        <f t="shared" ref="I1537:I1545" si="251">CLEAN("205")</f>
        <v>205</v>
      </c>
    </row>
    <row r="1538" spans="1:9" x14ac:dyDescent="0.35">
      <c r="A1538" s="2" t="str">
        <f t="shared" si="248"/>
        <v>COLUMBIA</v>
      </c>
      <c r="B1538" s="2" t="str">
        <f t="shared" si="249"/>
        <v>COLUMBIA COUNTY</v>
      </c>
      <c r="C1538" s="2" t="s">
        <v>1685</v>
      </c>
      <c r="D1538" s="2" t="str">
        <f>CLEAN("6217-00-01")</f>
        <v>6217-00-01</v>
      </c>
      <c r="E1538" s="3" t="str">
        <f>CLEAN("TOWN OF COLUMBUS  OLD STH 73 RD")</f>
        <v>TOWN OF COLUMBUS  OLD STH 73 RD</v>
      </c>
      <c r="F1538" s="3" t="str">
        <f>CLEAN("CRAWFISH RIVER BRIDGE  B-11-0910")</f>
        <v>CRAWFISH RIVER BRIDGE  B-11-0910</v>
      </c>
      <c r="G1538" s="3" t="str">
        <f>CLEAN("DESIGN / BRIDGE REPLACEMENT")</f>
        <v>DESIGN / BRIDGE REPLACEMENT</v>
      </c>
      <c r="H1538" s="2" t="str">
        <f t="shared" si="250"/>
        <v>LOC STR</v>
      </c>
      <c r="I1538" s="2" t="str">
        <f t="shared" si="251"/>
        <v>205</v>
      </c>
    </row>
    <row r="1539" spans="1:9" x14ac:dyDescent="0.35">
      <c r="A1539" s="2" t="str">
        <f t="shared" si="248"/>
        <v>COLUMBIA</v>
      </c>
      <c r="B1539" s="2" t="str">
        <f t="shared" si="249"/>
        <v>COLUMBIA COUNTY</v>
      </c>
      <c r="C1539" s="2" t="s">
        <v>1767</v>
      </c>
      <c r="D1539" s="2" t="str">
        <f>CLEAN("6217-00-02")</f>
        <v>6217-00-02</v>
      </c>
      <c r="E1539" s="3" t="str">
        <f>CLEAN("TOWN OF COLUMBUS  WENDT RD")</f>
        <v>TOWN OF COLUMBUS  WENDT RD</v>
      </c>
      <c r="F1539" s="3" t="str">
        <f>CLEAN("CRAWFISH RIVER BRIDGE  P-11-0094")</f>
        <v>CRAWFISH RIVER BRIDGE  P-11-0094</v>
      </c>
      <c r="G1539" s="3" t="str">
        <f>CLEAN("DESIGN/BRIDGE REPLACEMENT")</f>
        <v>DESIGN/BRIDGE REPLACEMENT</v>
      </c>
      <c r="H1539" s="2" t="str">
        <f t="shared" si="250"/>
        <v>LOC STR</v>
      </c>
      <c r="I1539" s="2" t="str">
        <f t="shared" si="251"/>
        <v>205</v>
      </c>
    </row>
    <row r="1540" spans="1:9" x14ac:dyDescent="0.35">
      <c r="A1540" s="2" t="str">
        <f t="shared" si="248"/>
        <v>COLUMBIA</v>
      </c>
      <c r="B1540" s="2" t="str">
        <f t="shared" si="249"/>
        <v>COLUMBIA COUNTY</v>
      </c>
      <c r="C1540" s="2" t="s">
        <v>1743</v>
      </c>
      <c r="D1540" s="2" t="str">
        <f>CLEAN("6217-00-07")</f>
        <v>6217-00-07</v>
      </c>
      <c r="E1540" s="3" t="str">
        <f>CLEAN("TOWN OF COLUMBUS  HALL RD")</f>
        <v>TOWN OF COLUMBUS  HALL RD</v>
      </c>
      <c r="F1540" s="3" t="str">
        <f>CLEAN("CRAWFISH RIVER BRIDGE  B-11-0786")</f>
        <v>CRAWFISH RIVER BRIDGE  B-11-0786</v>
      </c>
      <c r="G1540" s="3" t="str">
        <f>CLEAN("DESIGN/BRIDGE RECONSTRUCTION")</f>
        <v>DESIGN/BRIDGE RECONSTRUCTION</v>
      </c>
      <c r="H1540" s="2" t="str">
        <f t="shared" si="250"/>
        <v>LOC STR</v>
      </c>
      <c r="I1540" s="2" t="str">
        <f t="shared" si="251"/>
        <v>205</v>
      </c>
    </row>
    <row r="1541" spans="1:9" x14ac:dyDescent="0.35">
      <c r="A1541" s="2" t="str">
        <f t="shared" si="248"/>
        <v>COLUMBIA</v>
      </c>
      <c r="B1541" s="2" t="str">
        <f t="shared" si="249"/>
        <v>COLUMBIA COUNTY</v>
      </c>
      <c r="C1541" s="2" t="s">
        <v>81</v>
      </c>
      <c r="D1541" s="2" t="str">
        <f>CLEAN("6217-00-77")</f>
        <v>6217-00-77</v>
      </c>
      <c r="E1541" s="3" t="str">
        <f>CLEAN("TOWN OF COLUMBUS  HALL RD")</f>
        <v>TOWN OF COLUMBUS  HALL RD</v>
      </c>
      <c r="F1541" s="3" t="str">
        <f>CLEAN("CRAWFISH RIVER BRIDGE  B-11-0174")</f>
        <v>CRAWFISH RIVER BRIDGE  B-11-0174</v>
      </c>
      <c r="G1541" s="3" t="str">
        <f>CLEAN("CONST OPS/BRIDGE REPLACEMENT")</f>
        <v>CONST OPS/BRIDGE REPLACEMENT</v>
      </c>
      <c r="H1541" s="2" t="str">
        <f t="shared" si="250"/>
        <v>LOC STR</v>
      </c>
      <c r="I1541" s="2" t="str">
        <f t="shared" si="251"/>
        <v>205</v>
      </c>
    </row>
    <row r="1542" spans="1:9" x14ac:dyDescent="0.35">
      <c r="A1542" s="2" t="str">
        <f t="shared" si="248"/>
        <v>COLUMBIA</v>
      </c>
      <c r="B1542" s="2" t="str">
        <f t="shared" si="249"/>
        <v>COLUMBIA COUNTY</v>
      </c>
      <c r="C1542" s="2" t="s">
        <v>82</v>
      </c>
      <c r="D1542" s="2" t="str">
        <f>CLEAN("6217-00-78")</f>
        <v>6217-00-78</v>
      </c>
      <c r="E1542" s="3" t="str">
        <f>CLEAN("TOWN OF COLUMBUS  OLD STH 73 RD")</f>
        <v>TOWN OF COLUMBUS  OLD STH 73 RD</v>
      </c>
      <c r="F1542" s="3" t="str">
        <f>CLEAN("CRAWFISH RIVER BRIDGE  B-11-0175")</f>
        <v>CRAWFISH RIVER BRIDGE  B-11-0175</v>
      </c>
      <c r="G1542" s="3" t="str">
        <f>CLEAN("CONST OPS/BRIDGE REPLACEMENT")</f>
        <v>CONST OPS/BRIDGE REPLACEMENT</v>
      </c>
      <c r="H1542" s="2" t="str">
        <f t="shared" si="250"/>
        <v>LOC STR</v>
      </c>
      <c r="I1542" s="2" t="str">
        <f t="shared" si="251"/>
        <v>205</v>
      </c>
    </row>
    <row r="1543" spans="1:9" x14ac:dyDescent="0.35">
      <c r="A1543" s="2" t="str">
        <f t="shared" si="248"/>
        <v>COLUMBIA</v>
      </c>
      <c r="B1543" s="2" t="str">
        <f t="shared" si="249"/>
        <v>COLUMBIA COUNTY</v>
      </c>
      <c r="C1543" s="2" t="s">
        <v>83</v>
      </c>
      <c r="D1543" s="2" t="str">
        <f>CLEAN("6217-00-79")</f>
        <v>6217-00-79</v>
      </c>
      <c r="E1543" s="3" t="str">
        <f>CLEAN("TOWN OF COLUMBUS  WENDT RD")</f>
        <v>TOWN OF COLUMBUS  WENDT RD</v>
      </c>
      <c r="F1543" s="3" t="str">
        <f>CLEAN("CRAWFISH RIVER BRIDGE  B-11-0176")</f>
        <v>CRAWFISH RIVER BRIDGE  B-11-0176</v>
      </c>
      <c r="G1543" s="3" t="str">
        <f>CLEAN("CONST OPS/BRIDGE REPLACEMENT")</f>
        <v>CONST OPS/BRIDGE REPLACEMENT</v>
      </c>
      <c r="H1543" s="2" t="str">
        <f t="shared" si="250"/>
        <v>LOC STR</v>
      </c>
      <c r="I1543" s="2" t="str">
        <f t="shared" si="251"/>
        <v>205</v>
      </c>
    </row>
    <row r="1544" spans="1:9" x14ac:dyDescent="0.35">
      <c r="A1544" s="2" t="str">
        <f t="shared" si="248"/>
        <v>COLUMBIA</v>
      </c>
      <c r="B1544" s="2" t="str">
        <f t="shared" si="249"/>
        <v>COLUMBIA COUNTY</v>
      </c>
      <c r="C1544" s="2" t="s">
        <v>141</v>
      </c>
      <c r="D1544" s="2" t="str">
        <f>CLEAN("6721-00-71")</f>
        <v>6721-00-71</v>
      </c>
      <c r="E1544" s="3" t="str">
        <f>CLEAN("STH 78 - I39/90")</f>
        <v>STH 78 - I39/90</v>
      </c>
      <c r="F1544" s="3" t="str">
        <f>CLEAN("WISCONSIN RVR TRIB BRIDGE B-11-0169")</f>
        <v>WISCONSIN RVR TRIB BRIDGE B-11-0169</v>
      </c>
      <c r="G1544" s="3" t="str">
        <f>CLEAN("CONST OPS/BRIDGE REPLACEMENT")</f>
        <v>CONST OPS/BRIDGE REPLACEMENT</v>
      </c>
      <c r="H1544" s="2" t="str">
        <f>CLEAN("CTH U")</f>
        <v>CTH U</v>
      </c>
      <c r="I1544" s="2" t="str">
        <f t="shared" si="251"/>
        <v>205</v>
      </c>
    </row>
    <row r="1545" spans="1:9" x14ac:dyDescent="0.35">
      <c r="A1545" s="2" t="str">
        <f t="shared" si="248"/>
        <v>COLUMBIA</v>
      </c>
      <c r="B1545" s="2" t="str">
        <f t="shared" si="249"/>
        <v>COLUMBIA COUNTY</v>
      </c>
      <c r="C1545" s="2" t="s">
        <v>1821</v>
      </c>
      <c r="D1545" s="2" t="str">
        <f>CLEAN("6723-00-03")</f>
        <v>6723-00-03</v>
      </c>
      <c r="E1545" s="3" t="str">
        <f>CLEAN("TOWN OF RANDOLPH  STERK RD")</f>
        <v>TOWN OF RANDOLPH  STERK RD</v>
      </c>
      <c r="F1545" s="3" t="str">
        <f>CLEAN("UPRR BRIDGE  P-11-0043")</f>
        <v>UPRR BRIDGE  P-11-0043</v>
      </c>
      <c r="G1545" s="3" t="str">
        <f>CLEAN("DESIGN/BRIDGE REPLACEMENT")</f>
        <v>DESIGN/BRIDGE REPLACEMENT</v>
      </c>
      <c r="H1545" s="2" t="str">
        <f>CLEAN("LOC STR")</f>
        <v>LOC STR</v>
      </c>
      <c r="I1545" s="2" t="str">
        <f t="shared" si="251"/>
        <v>205</v>
      </c>
    </row>
    <row r="1546" spans="1:9" x14ac:dyDescent="0.35">
      <c r="A1546" s="2" t="str">
        <f t="shared" si="248"/>
        <v>COLUMBIA</v>
      </c>
      <c r="B1546" s="2" t="str">
        <f t="shared" si="249"/>
        <v>COLUMBIA COUNTY</v>
      </c>
      <c r="C1546" s="2" t="s">
        <v>1521</v>
      </c>
      <c r="D1546" s="2" t="str">
        <f>CLEAN("6994-00-02")</f>
        <v>6994-00-02</v>
      </c>
      <c r="E1546" s="3" t="str">
        <f>CLEAN("V CAMBRIA - STH 73 (CTH P)")</f>
        <v>V CAMBRIA - STH 73 (CTH P)</v>
      </c>
      <c r="F1546" s="3" t="str">
        <f>CLEAN("KIKKERT COURT TO STH 73")</f>
        <v>KIKKERT COURT TO STH 73</v>
      </c>
      <c r="G1546" s="3" t="str">
        <f>CLEAN("DESIGN - FULL PS&amp;E RECONSTRUCTION")</f>
        <v>DESIGN - FULL PS&amp;E RECONSTRUCTION</v>
      </c>
      <c r="H1546" s="2" t="str">
        <f>CLEAN("CTH P")</f>
        <v>CTH P</v>
      </c>
      <c r="I1546" s="2" t="str">
        <f>CLEAN("206")</f>
        <v>206</v>
      </c>
    </row>
    <row r="1547" spans="1:9" x14ac:dyDescent="0.35">
      <c r="A1547" s="2" t="str">
        <f t="shared" si="248"/>
        <v>COLUMBIA</v>
      </c>
      <c r="B1547" s="2" t="str">
        <f t="shared" si="249"/>
        <v>COLUMBIA COUNTY</v>
      </c>
      <c r="C1547" s="2" t="s">
        <v>3104</v>
      </c>
      <c r="D1547" s="2" t="str">
        <f>CLEAN("6994-00-52")</f>
        <v>6994-00-52</v>
      </c>
      <c r="E1547" s="3" t="str">
        <f>CLEAN("V CAMBRIA - STH 73 (CTH P)")</f>
        <v>V CAMBRIA - STH 73 (CTH P)</v>
      </c>
      <c r="F1547" s="3" t="str">
        <f>CLEAN("KIKKERT COURT TO STH 73")</f>
        <v>KIKKERT COURT TO STH 73</v>
      </c>
      <c r="G1547" s="3" t="str">
        <f>CLEAN("R/R OPS/ CROSSING SURFACE")</f>
        <v>R/R OPS/ CROSSING SURFACE</v>
      </c>
      <c r="H1547" s="2" t="str">
        <f>CLEAN("CTH P")</f>
        <v>CTH P</v>
      </c>
      <c r="I1547" s="2" t="str">
        <f>CLEAN("206")</f>
        <v>206</v>
      </c>
    </row>
    <row r="1548" spans="1:9" x14ac:dyDescent="0.35">
      <c r="A1548" s="2" t="str">
        <f t="shared" si="248"/>
        <v>COLUMBIA</v>
      </c>
      <c r="B1548" s="2" t="str">
        <f t="shared" si="249"/>
        <v>COLUMBIA COUNTY</v>
      </c>
      <c r="C1548" s="2" t="s">
        <v>247</v>
      </c>
      <c r="D1548" s="2" t="str">
        <f>CLEAN("6994-00-72")</f>
        <v>6994-00-72</v>
      </c>
      <c r="E1548" s="3" t="str">
        <f>CLEAN("V CAMBRIA - STH 73 (CTH P)")</f>
        <v>V CAMBRIA - STH 73 (CTH P)</v>
      </c>
      <c r="F1548" s="3" t="str">
        <f>CLEAN("KIKKERT COURT TO STH 73")</f>
        <v>KIKKERT COURT TO STH 73</v>
      </c>
      <c r="G1548" s="3" t="str">
        <f>CLEAN("CONST OPS/RECONSTRUCTION")</f>
        <v>CONST OPS/RECONSTRUCTION</v>
      </c>
      <c r="H1548" s="2" t="str">
        <f>CLEAN("CTH P")</f>
        <v>CTH P</v>
      </c>
      <c r="I1548" s="2" t="str">
        <f>CLEAN("206")</f>
        <v>206</v>
      </c>
    </row>
    <row r="1549" spans="1:9" x14ac:dyDescent="0.35">
      <c r="A1549" s="2" t="str">
        <f>CLEAN("ADAMS")</f>
        <v>ADAMS</v>
      </c>
      <c r="B1549" s="2" t="str">
        <f>CLEAN("COUNTY OF ADAMS HWY DEPT")</f>
        <v>COUNTY OF ADAMS HWY DEPT</v>
      </c>
      <c r="C1549" s="2" t="s">
        <v>1972</v>
      </c>
      <c r="D1549" s="2" t="str">
        <f>CLEAN("6375-01-01")</f>
        <v>6375-01-01</v>
      </c>
      <c r="E1549" s="3" t="str">
        <f>CLEAN("CTH Z - CTH N")</f>
        <v>CTH Z - CTH N</v>
      </c>
      <c r="F1549" s="3" t="str">
        <f>CLEAN("LITTLE ROCHE A CRI CREEK  P-01-903")</f>
        <v>LITTLE ROCHE A CRI CREEK  P-01-903</v>
      </c>
      <c r="G1549" s="3" t="str">
        <f>CLEAN("DESIGN/FULL PSE/REPLACEMENT")</f>
        <v>DESIGN/FULL PSE/REPLACEMENT</v>
      </c>
      <c r="H1549" s="2" t="str">
        <f>CLEAN("CTH J")</f>
        <v>CTH J</v>
      </c>
      <c r="I1549" s="2" t="str">
        <f>CLEAN("205")</f>
        <v>205</v>
      </c>
    </row>
    <row r="1550" spans="1:9" x14ac:dyDescent="0.35">
      <c r="A1550" s="2" t="str">
        <f>CLEAN("ADAMS")</f>
        <v>ADAMS</v>
      </c>
      <c r="B1550" s="2" t="str">
        <f>CLEAN("COUNTY OF ADAMS HWY DEPT")</f>
        <v>COUNTY OF ADAMS HWY DEPT</v>
      </c>
      <c r="C1550" s="2" t="s">
        <v>767</v>
      </c>
      <c r="D1550" s="2" t="str">
        <f>CLEAN("6355-00-74")</f>
        <v>6355-00-74</v>
      </c>
      <c r="E1550" s="3" t="str">
        <f>CLEAN("CTH H - CTH F")</f>
        <v>CTH H - CTH F</v>
      </c>
      <c r="F1550" s="3" t="str">
        <f>CLEAN("EDGEWOOD AVENUE TO CTH F")</f>
        <v>EDGEWOOD AVENUE TO CTH F</v>
      </c>
      <c r="G1550" s="3" t="str">
        <f>CLEAN("CONST/RECONSTRUCT")</f>
        <v>CONST/RECONSTRUCT</v>
      </c>
      <c r="H1550" s="2" t="str">
        <f>CLEAN("CTH Z")</f>
        <v>CTH Z</v>
      </c>
      <c r="I1550" s="2" t="str">
        <f>CLEAN("206")</f>
        <v>206</v>
      </c>
    </row>
    <row r="1551" spans="1:9" x14ac:dyDescent="0.35">
      <c r="A1551" s="2" t="str">
        <f>CLEAN("ADAMS")</f>
        <v>ADAMS</v>
      </c>
      <c r="B1551" s="2" t="str">
        <f>CLEAN("COUNTY OF ADAMS HWY DEPT")</f>
        <v>COUNTY OF ADAMS HWY DEPT</v>
      </c>
      <c r="C1551" s="2" t="s">
        <v>902</v>
      </c>
      <c r="D1551" s="2" t="str">
        <f>CLEAN("6375-01-71")</f>
        <v>6375-01-71</v>
      </c>
      <c r="E1551" s="3" t="str">
        <f>CLEAN("CTH Z - CTH N")</f>
        <v>CTH Z - CTH N</v>
      </c>
      <c r="F1551" s="3" t="str">
        <f>CLEAN("LITTLE ROCHE A CRI CREEK B-01-0037")</f>
        <v>LITTLE ROCHE A CRI CREEK B-01-0037</v>
      </c>
      <c r="G1551" s="3" t="str">
        <f>CLEAN("CONST/REPLACEMENT")</f>
        <v>CONST/REPLACEMENT</v>
      </c>
      <c r="H1551" s="2" t="str">
        <f>CLEAN("CTH J")</f>
        <v>CTH J</v>
      </c>
      <c r="I1551" s="2" t="str">
        <f>CLEAN("205")</f>
        <v>205</v>
      </c>
    </row>
    <row r="1552" spans="1:9" x14ac:dyDescent="0.35">
      <c r="A1552" s="2" t="str">
        <f t="shared" ref="A1552:A1572" si="252">CLEAN("CRAWFORD")</f>
        <v>CRAWFORD</v>
      </c>
      <c r="B1552" s="2" t="str">
        <f t="shared" ref="B1552:B1572" si="253">CLEAN("CRAWFORD COUNTY")</f>
        <v>CRAWFORD COUNTY</v>
      </c>
      <c r="C1552" s="2" t="s">
        <v>2182</v>
      </c>
      <c r="D1552" s="2" t="str">
        <f>CLEAN("5001-00-01")</f>
        <v>5001-00-01</v>
      </c>
      <c r="E1552" s="3" t="str">
        <f>CLEAN("STH 35 - CTH B")</f>
        <v>STH 35 - CTH B</v>
      </c>
      <c r="F1552" s="3" t="str">
        <f>CLEAN("CONWAY VALLEY CRK BRIDGE P-12-0931")</f>
        <v>CONWAY VALLEY CRK BRIDGE P-12-0931</v>
      </c>
      <c r="G1552" s="3" t="str">
        <f>CLEAN("DESIGN/PLAN CHECK REVIEW/RECST")</f>
        <v>DESIGN/PLAN CHECK REVIEW/RECST</v>
      </c>
      <c r="H1552" s="2" t="str">
        <f>CLEAN("CTH C")</f>
        <v>CTH C</v>
      </c>
      <c r="I1552" s="2" t="str">
        <f>CLEAN("205")</f>
        <v>205</v>
      </c>
    </row>
    <row r="1553" spans="1:9" x14ac:dyDescent="0.35">
      <c r="A1553" s="2" t="str">
        <f t="shared" si="252"/>
        <v>CRAWFORD</v>
      </c>
      <c r="B1553" s="2" t="str">
        <f t="shared" si="253"/>
        <v>CRAWFORD COUNTY</v>
      </c>
      <c r="C1553" s="2" t="s">
        <v>2236</v>
      </c>
      <c r="D1553" s="2" t="str">
        <f>CLEAN("5002-00-01")</f>
        <v>5002-00-01</v>
      </c>
      <c r="E1553" s="3" t="str">
        <f>CLEAN("SENECA - STH 179 (CTH E)")</f>
        <v>SENECA - STH 179 (CTH E)</v>
      </c>
      <c r="F1553" s="3" t="str">
        <f>CLEAN("STH 27 TO STH 179")</f>
        <v>STH 27 TO STH 179</v>
      </c>
      <c r="G1553" s="3" t="str">
        <f>CLEAN("DESIGN/PLAN CHECK REVIEW/RSRF30")</f>
        <v>DESIGN/PLAN CHECK REVIEW/RSRF30</v>
      </c>
      <c r="H1553" s="2" t="str">
        <f>CLEAN("CTH E")</f>
        <v>CTH E</v>
      </c>
      <c r="I1553" s="2" t="str">
        <f>CLEAN("206")</f>
        <v>206</v>
      </c>
    </row>
    <row r="1554" spans="1:9" x14ac:dyDescent="0.35">
      <c r="A1554" s="2" t="str">
        <f t="shared" si="252"/>
        <v>CRAWFORD</v>
      </c>
      <c r="B1554" s="2" t="str">
        <f t="shared" si="253"/>
        <v>CRAWFORD COUNTY</v>
      </c>
      <c r="C1554" s="2" t="s">
        <v>2200</v>
      </c>
      <c r="D1554" s="2" t="str">
        <f>CLEAN("5057-00-00")</f>
        <v>5057-00-00</v>
      </c>
      <c r="E1554" s="3" t="str">
        <f>CLEAN("BELL CENTER - STH 131")</f>
        <v>BELL CENTER - STH 131</v>
      </c>
      <c r="F1554" s="3" t="str">
        <f>CLEAN("KICKAPOO RIVER BRIDGE B-12-0018")</f>
        <v>KICKAPOO RIVER BRIDGE B-12-0018</v>
      </c>
      <c r="G1554" s="3" t="str">
        <f>CLEAN("DESIGN/PLAN CHECK REVIEW/RECST")</f>
        <v>DESIGN/PLAN CHECK REVIEW/RECST</v>
      </c>
      <c r="H1554" s="2" t="str">
        <f>CLEAN("CTH S")</f>
        <v>CTH S</v>
      </c>
      <c r="I1554" s="2" t="str">
        <f t="shared" ref="I1554:I1569" si="254">CLEAN("205")</f>
        <v>205</v>
      </c>
    </row>
    <row r="1555" spans="1:9" x14ac:dyDescent="0.35">
      <c r="A1555" s="2" t="str">
        <f t="shared" si="252"/>
        <v>CRAWFORD</v>
      </c>
      <c r="B1555" s="2" t="str">
        <f t="shared" si="253"/>
        <v>CRAWFORD COUNTY</v>
      </c>
      <c r="C1555" s="2" t="s">
        <v>2111</v>
      </c>
      <c r="D1555" s="2" t="str">
        <f>CLEAN("5057-00-02")</f>
        <v>5057-00-02</v>
      </c>
      <c r="E1555" s="3" t="str">
        <f>CLEAN("USH 61 - CTH F (CTH S)")</f>
        <v>USH 61 - CTH F (CTH S)</v>
      </c>
      <c r="F1555" s="3" t="str">
        <f>CLEAN("W FORK KNAPP CREEK BR P-12-0714")</f>
        <v>W FORK KNAPP CREEK BR P-12-0714</v>
      </c>
      <c r="G1555" s="3" t="str">
        <f>CLEAN("DESIGN/PLAN CHECK REVIEW/BRRPL")</f>
        <v>DESIGN/PLAN CHECK REVIEW/BRRPL</v>
      </c>
      <c r="H1555" s="2" t="str">
        <f>CLEAN("CTH S")</f>
        <v>CTH S</v>
      </c>
      <c r="I1555" s="2" t="str">
        <f t="shared" si="254"/>
        <v>205</v>
      </c>
    </row>
    <row r="1556" spans="1:9" x14ac:dyDescent="0.35">
      <c r="A1556" s="2" t="str">
        <f t="shared" si="252"/>
        <v>CRAWFORD</v>
      </c>
      <c r="B1556" s="2" t="str">
        <f t="shared" si="253"/>
        <v>CRAWFORD COUNTY</v>
      </c>
      <c r="C1556" s="2" t="s">
        <v>138</v>
      </c>
      <c r="D1556" s="2" t="str">
        <f>CLEAN("5057-00-72")</f>
        <v>5057-00-72</v>
      </c>
      <c r="E1556" s="3" t="str">
        <f>CLEAN("USH 61 - CTH F (CTH S)")</f>
        <v>USH 61 - CTH F (CTH S)</v>
      </c>
      <c r="F1556" s="3" t="str">
        <f>CLEAN("W FORK KNAPP CREEK BR B-12-0257")</f>
        <v>W FORK KNAPP CREEK BR B-12-0257</v>
      </c>
      <c r="G1556" s="3" t="str">
        <f>CLEAN("CONST OPS/BRIDGE REPLACEMENT")</f>
        <v>CONST OPS/BRIDGE REPLACEMENT</v>
      </c>
      <c r="H1556" s="2" t="str">
        <f>CLEAN("CTH S")</f>
        <v>CTH S</v>
      </c>
      <c r="I1556" s="2" t="str">
        <f t="shared" si="254"/>
        <v>205</v>
      </c>
    </row>
    <row r="1557" spans="1:9" x14ac:dyDescent="0.35">
      <c r="A1557" s="2" t="str">
        <f t="shared" si="252"/>
        <v>CRAWFORD</v>
      </c>
      <c r="B1557" s="2" t="str">
        <f t="shared" si="253"/>
        <v>CRAWFORD COUNTY</v>
      </c>
      <c r="C1557" s="2" t="s">
        <v>2090</v>
      </c>
      <c r="D1557" s="2" t="str">
        <f>CLEAN("5325-00-02")</f>
        <v>5325-00-02</v>
      </c>
      <c r="E1557" s="3" t="str">
        <f>CLEAN("TOWN OF CLAYTON  TILLER RD")</f>
        <v>TOWN OF CLAYTON  TILLER RD</v>
      </c>
      <c r="F1557" s="3" t="str">
        <f>CLEAN("PIGEON RUN CREEK BRIDGE P-12-0905")</f>
        <v>PIGEON RUN CREEK BRIDGE P-12-0905</v>
      </c>
      <c r="G1557" s="3" t="str">
        <f>CLEAN("DESIGN/PLAN CHECK REVIEW/BR REPLACE")</f>
        <v>DESIGN/PLAN CHECK REVIEW/BR REPLACE</v>
      </c>
      <c r="H1557" s="2" t="str">
        <f t="shared" ref="H1557:H1567" si="255">CLEAN("LOC STR")</f>
        <v>LOC STR</v>
      </c>
      <c r="I1557" s="2" t="str">
        <f t="shared" si="254"/>
        <v>205</v>
      </c>
    </row>
    <row r="1558" spans="1:9" x14ac:dyDescent="0.35">
      <c r="A1558" s="2" t="str">
        <f t="shared" si="252"/>
        <v>CRAWFORD</v>
      </c>
      <c r="B1558" s="2" t="str">
        <f t="shared" si="253"/>
        <v>CRAWFORD COUNTY</v>
      </c>
      <c r="C1558" s="2" t="s">
        <v>2082</v>
      </c>
      <c r="D1558" s="2" t="str">
        <f>CLEAN("5325-00-03")</f>
        <v>5325-00-03</v>
      </c>
      <c r="E1558" s="3" t="str">
        <f>CLEAN("T OF CLAYTON  NORWEGIAN HOLLOW RD")</f>
        <v>T OF CLAYTON  NORWEGIAN HOLLOW RD</v>
      </c>
      <c r="F1558" s="3" t="str">
        <f>CLEAN("BR JOHNSON BALLEY CR BR  P-12-0940")</f>
        <v>BR JOHNSON BALLEY CR BR  P-12-0940</v>
      </c>
      <c r="G1558" s="3" t="str">
        <f>CLEAN("DESIGN/PLAN CHECK REVIEW/BR REPLACE")</f>
        <v>DESIGN/PLAN CHECK REVIEW/BR REPLACE</v>
      </c>
      <c r="H1558" s="2" t="str">
        <f t="shared" si="255"/>
        <v>LOC STR</v>
      </c>
      <c r="I1558" s="2" t="str">
        <f t="shared" si="254"/>
        <v>205</v>
      </c>
    </row>
    <row r="1559" spans="1:9" x14ac:dyDescent="0.35">
      <c r="A1559" s="2" t="str">
        <f t="shared" si="252"/>
        <v>CRAWFORD</v>
      </c>
      <c r="B1559" s="2" t="str">
        <f t="shared" si="253"/>
        <v>CRAWFORD COUNTY</v>
      </c>
      <c r="C1559" s="2" t="s">
        <v>70</v>
      </c>
      <c r="D1559" s="2" t="str">
        <f>CLEAN("5325-00-73")</f>
        <v>5325-00-73</v>
      </c>
      <c r="E1559" s="3" t="str">
        <f>CLEAN("T OF CLAYTON  NORWEGIAN HOLLOW RD")</f>
        <v>T OF CLAYTON  NORWEGIAN HOLLOW RD</v>
      </c>
      <c r="F1559" s="3" t="str">
        <f>CLEAN("BR JOHNSON VALLEY CR BR B-12-0247")</f>
        <v>BR JOHNSON VALLEY CR BR B-12-0247</v>
      </c>
      <c r="G1559" s="3" t="str">
        <f>CLEAN("CONST OPS/BRIDGE REPLACEMENT")</f>
        <v>CONST OPS/BRIDGE REPLACEMENT</v>
      </c>
      <c r="H1559" s="2" t="str">
        <f t="shared" si="255"/>
        <v>LOC STR</v>
      </c>
      <c r="I1559" s="2" t="str">
        <f t="shared" si="254"/>
        <v>205</v>
      </c>
    </row>
    <row r="1560" spans="1:9" x14ac:dyDescent="0.35">
      <c r="A1560" s="2" t="str">
        <f t="shared" si="252"/>
        <v>CRAWFORD</v>
      </c>
      <c r="B1560" s="2" t="str">
        <f t="shared" si="253"/>
        <v>CRAWFORD COUNTY</v>
      </c>
      <c r="C1560" s="2" t="s">
        <v>132</v>
      </c>
      <c r="D1560" s="2" t="str">
        <f>CLEAN("5327-00-72")</f>
        <v>5327-00-72</v>
      </c>
      <c r="E1560" s="3" t="str">
        <f>CLEAN("T FREEMAN  SUGAR CR BIBLE CAMP ROAD")</f>
        <v>T FREEMAN  SUGAR CR BIBLE CAMP ROAD</v>
      </c>
      <c r="F1560" s="3" t="str">
        <f>CLEAN("SUGAR CREEK BRIDGE B-12-0189")</f>
        <v>SUGAR CREEK BRIDGE B-12-0189</v>
      </c>
      <c r="G1560" s="3" t="str">
        <f>CLEAN("CONST OPS/BRIDGE REPLACEMENT")</f>
        <v>CONST OPS/BRIDGE REPLACEMENT</v>
      </c>
      <c r="H1560" s="2" t="str">
        <f t="shared" si="255"/>
        <v>LOC STR</v>
      </c>
      <c r="I1560" s="2" t="str">
        <f t="shared" si="254"/>
        <v>205</v>
      </c>
    </row>
    <row r="1561" spans="1:9" x14ac:dyDescent="0.35">
      <c r="A1561" s="2" t="str">
        <f t="shared" si="252"/>
        <v>CRAWFORD</v>
      </c>
      <c r="B1561" s="2" t="str">
        <f t="shared" si="253"/>
        <v>CRAWFORD COUNTY</v>
      </c>
      <c r="C1561" s="2" t="s">
        <v>2088</v>
      </c>
      <c r="D1561" s="2" t="str">
        <f>CLEAN("5328-00-00")</f>
        <v>5328-00-00</v>
      </c>
      <c r="E1561" s="3" t="str">
        <f>CLEAN("V OF BELL CENTER  SAND HILL RD")</f>
        <v>V OF BELL CENTER  SAND HILL RD</v>
      </c>
      <c r="F1561" s="3" t="str">
        <f>CLEAN("KICKAPOO RIVER BRIDGE  P-12-0700")</f>
        <v>KICKAPOO RIVER BRIDGE  P-12-0700</v>
      </c>
      <c r="G1561" s="3" t="str">
        <f>CLEAN("DESIGN/PLAN CHECK REVIEW/BR REPLACE")</f>
        <v>DESIGN/PLAN CHECK REVIEW/BR REPLACE</v>
      </c>
      <c r="H1561" s="2" t="str">
        <f t="shared" si="255"/>
        <v>LOC STR</v>
      </c>
      <c r="I1561" s="2" t="str">
        <f t="shared" si="254"/>
        <v>205</v>
      </c>
    </row>
    <row r="1562" spans="1:9" x14ac:dyDescent="0.35">
      <c r="A1562" s="2" t="str">
        <f t="shared" si="252"/>
        <v>CRAWFORD</v>
      </c>
      <c r="B1562" s="2" t="str">
        <f t="shared" si="253"/>
        <v>CRAWFORD COUNTY</v>
      </c>
      <c r="C1562" s="2" t="s">
        <v>2096</v>
      </c>
      <c r="D1562" s="2" t="str">
        <f>CLEAN("5329-00-00")</f>
        <v>5329-00-00</v>
      </c>
      <c r="E1562" s="3" t="str">
        <f>CLEAN("T OF MARIETTA  MARIETTA VALLEY RD")</f>
        <v>T OF MARIETTA  MARIETTA VALLEY RD</v>
      </c>
      <c r="F1562" s="3" t="str">
        <f>CLEAN("WOODWARD HOLLOW CR BRIDGE P12-0001")</f>
        <v>WOODWARD HOLLOW CR BRIDGE P12-0001</v>
      </c>
      <c r="G1562" s="3" t="str">
        <f>CLEAN("DESIGN/PLAN CHECK REVIEW/BR REPLACE")</f>
        <v>DESIGN/PLAN CHECK REVIEW/BR REPLACE</v>
      </c>
      <c r="H1562" s="2" t="str">
        <f t="shared" si="255"/>
        <v>LOC STR</v>
      </c>
      <c r="I1562" s="2" t="str">
        <f t="shared" si="254"/>
        <v>205</v>
      </c>
    </row>
    <row r="1563" spans="1:9" x14ac:dyDescent="0.35">
      <c r="A1563" s="2" t="str">
        <f t="shared" si="252"/>
        <v>CRAWFORD</v>
      </c>
      <c r="B1563" s="2" t="str">
        <f t="shared" si="253"/>
        <v>CRAWFORD COUNTY</v>
      </c>
      <c r="C1563" s="2" t="s">
        <v>2091</v>
      </c>
      <c r="D1563" s="2" t="str">
        <f>CLEAN("5336-00-03")</f>
        <v>5336-00-03</v>
      </c>
      <c r="E1563" s="3" t="str">
        <f>CLEAN("TOWN OF SCOTT  BYERS RD")</f>
        <v>TOWN OF SCOTT  BYERS RD</v>
      </c>
      <c r="F1563" s="3" t="str">
        <f>CLEAN("RICHLAND CREEK BRIDGE  P-12-0096")</f>
        <v>RICHLAND CREEK BRIDGE  P-12-0096</v>
      </c>
      <c r="G1563" s="3" t="str">
        <f>CLEAN("DESIGN/PLAN CHECK REVIEW/BR REPLACE")</f>
        <v>DESIGN/PLAN CHECK REVIEW/BR REPLACE</v>
      </c>
      <c r="H1563" s="2" t="str">
        <f t="shared" si="255"/>
        <v>LOC STR</v>
      </c>
      <c r="I1563" s="2" t="str">
        <f t="shared" si="254"/>
        <v>205</v>
      </c>
    </row>
    <row r="1564" spans="1:9" x14ac:dyDescent="0.35">
      <c r="A1564" s="2" t="str">
        <f t="shared" si="252"/>
        <v>CRAWFORD</v>
      </c>
      <c r="B1564" s="2" t="str">
        <f t="shared" si="253"/>
        <v>CRAWFORD COUNTY</v>
      </c>
      <c r="C1564" s="2" t="s">
        <v>2087</v>
      </c>
      <c r="D1564" s="2" t="str">
        <f>CLEAN("5339-00-02")</f>
        <v>5339-00-02</v>
      </c>
      <c r="E1564" s="3" t="str">
        <f>CLEAN("T OF WAUZEKA  GRAN GRAE ROAD")</f>
        <v>T OF WAUZEKA  GRAN GRAE ROAD</v>
      </c>
      <c r="F1564" s="3" t="str">
        <f>CLEAN("GRAN GRAE CREEK  P-12-0124")</f>
        <v>GRAN GRAE CREEK  P-12-0124</v>
      </c>
      <c r="G1564" s="3" t="str">
        <f>CLEAN("DESIGN/PLAN CHECK REVIEW/BR REPLACE")</f>
        <v>DESIGN/PLAN CHECK REVIEW/BR REPLACE</v>
      </c>
      <c r="H1564" s="2" t="str">
        <f t="shared" si="255"/>
        <v>LOC STR</v>
      </c>
      <c r="I1564" s="2" t="str">
        <f t="shared" si="254"/>
        <v>205</v>
      </c>
    </row>
    <row r="1565" spans="1:9" x14ac:dyDescent="0.35">
      <c r="A1565" s="2" t="str">
        <f t="shared" si="252"/>
        <v>CRAWFORD</v>
      </c>
      <c r="B1565" s="2" t="str">
        <f t="shared" si="253"/>
        <v>CRAWFORD COUNTY</v>
      </c>
      <c r="C1565" s="2" t="s">
        <v>439</v>
      </c>
      <c r="D1565" s="2" t="str">
        <f>CLEAN("5339-00-72")</f>
        <v>5339-00-72</v>
      </c>
      <c r="E1565" s="3" t="str">
        <f>CLEAN("T OF WAUZEKA  GRAN GRAE ROAD")</f>
        <v>T OF WAUZEKA  GRAN GRAE ROAD</v>
      </c>
      <c r="F1565" s="3" t="str">
        <f>CLEAN("GRAN GRAE CREEK  B-12-0253")</f>
        <v>GRAN GRAE CREEK  B-12-0253</v>
      </c>
      <c r="G1565" s="3" t="str">
        <f>CLEAN("CONST/BRIDGE REPLACEMENT")</f>
        <v>CONST/BRIDGE REPLACEMENT</v>
      </c>
      <c r="H1565" s="2" t="str">
        <f t="shared" si="255"/>
        <v>LOC STR</v>
      </c>
      <c r="I1565" s="2" t="str">
        <f t="shared" si="254"/>
        <v>205</v>
      </c>
    </row>
    <row r="1566" spans="1:9" x14ac:dyDescent="0.35">
      <c r="A1566" s="2" t="str">
        <f t="shared" si="252"/>
        <v>CRAWFORD</v>
      </c>
      <c r="B1566" s="2" t="str">
        <f t="shared" si="253"/>
        <v>CRAWFORD COUNTY</v>
      </c>
      <c r="C1566" s="2" t="s">
        <v>2107</v>
      </c>
      <c r="D1566" s="2" t="str">
        <f>CLEAN("5408-00-00")</f>
        <v>5408-00-00</v>
      </c>
      <c r="E1566" s="3" t="str">
        <f>CLEAN("V DESOTO  MILL PARK DRIVE")</f>
        <v>V DESOTO  MILL PARK DRIVE</v>
      </c>
      <c r="F1566" s="3" t="str">
        <f>CLEAN("MISSISSIPPI TRIB BRIDGE P-12-0703")</f>
        <v>MISSISSIPPI TRIB BRIDGE P-12-0703</v>
      </c>
      <c r="G1566" s="3" t="str">
        <f>CLEAN("DESIGN/PLAN CHECK REVIEW/BRRPL")</f>
        <v>DESIGN/PLAN CHECK REVIEW/BRRPL</v>
      </c>
      <c r="H1566" s="2" t="str">
        <f t="shared" si="255"/>
        <v>LOC STR</v>
      </c>
      <c r="I1566" s="2" t="str">
        <f t="shared" si="254"/>
        <v>205</v>
      </c>
    </row>
    <row r="1567" spans="1:9" x14ac:dyDescent="0.35">
      <c r="A1567" s="2" t="str">
        <f t="shared" si="252"/>
        <v>CRAWFORD</v>
      </c>
      <c r="B1567" s="2" t="str">
        <f t="shared" si="253"/>
        <v>CRAWFORD COUNTY</v>
      </c>
      <c r="C1567" s="2" t="s">
        <v>455</v>
      </c>
      <c r="D1567" s="2" t="str">
        <f>CLEAN("5408-00-70")</f>
        <v>5408-00-70</v>
      </c>
      <c r="E1567" s="3" t="str">
        <f>CLEAN("V DESOTO  MILL PARK DRIVE")</f>
        <v>V DESOTO  MILL PARK DRIVE</v>
      </c>
      <c r="F1567" s="3" t="str">
        <f>CLEAN("MISSISSIPPI TRIB BRIDGE B-12-0258")</f>
        <v>MISSISSIPPI TRIB BRIDGE B-12-0258</v>
      </c>
      <c r="G1567" s="3" t="str">
        <f>CLEAN("CONST/BRIDGE REPLACEMENT")</f>
        <v>CONST/BRIDGE REPLACEMENT</v>
      </c>
      <c r="H1567" s="2" t="str">
        <f t="shared" si="255"/>
        <v>LOC STR</v>
      </c>
      <c r="I1567" s="2" t="str">
        <f t="shared" si="254"/>
        <v>205</v>
      </c>
    </row>
    <row r="1568" spans="1:9" x14ac:dyDescent="0.35">
      <c r="A1568" s="2" t="str">
        <f t="shared" si="252"/>
        <v>CRAWFORD</v>
      </c>
      <c r="B1568" s="2" t="str">
        <f t="shared" si="253"/>
        <v>CRAWFORD COUNTY</v>
      </c>
      <c r="C1568" s="2" t="s">
        <v>2086</v>
      </c>
      <c r="D1568" s="2" t="str">
        <f>CLEAN("5415-00-01")</f>
        <v>5415-00-01</v>
      </c>
      <c r="E1568" s="3" t="str">
        <f>CLEAN("STH 171 - CTH X")</f>
        <v>STH 171 - CTH X</v>
      </c>
      <c r="F1568" s="3" t="str">
        <f>CLEAN("ENGLISH RUN CREEK BRIDGE  P-12-0055")</f>
        <v>ENGLISH RUN CREEK BRIDGE  P-12-0055</v>
      </c>
      <c r="G1568" s="3" t="str">
        <f>CLEAN("DESIGN/PLAN CHECK REVIEW/BR REPLACE")</f>
        <v>DESIGN/PLAN CHECK REVIEW/BR REPLACE</v>
      </c>
      <c r="H1568" s="2" t="str">
        <f>CLEAN("CTH H")</f>
        <v>CTH H</v>
      </c>
      <c r="I1568" s="2" t="str">
        <f t="shared" si="254"/>
        <v>205</v>
      </c>
    </row>
    <row r="1569" spans="1:9" x14ac:dyDescent="0.35">
      <c r="A1569" s="2" t="str">
        <f t="shared" si="252"/>
        <v>CRAWFORD</v>
      </c>
      <c r="B1569" s="2" t="str">
        <f t="shared" si="253"/>
        <v>CRAWFORD COUNTY</v>
      </c>
      <c r="C1569" s="2" t="s">
        <v>95</v>
      </c>
      <c r="D1569" s="2" t="str">
        <f>CLEAN("5415-00-71")</f>
        <v>5415-00-71</v>
      </c>
      <c r="E1569" s="3" t="str">
        <f>CLEAN("STH 171 - CTH X")</f>
        <v>STH 171 - CTH X</v>
      </c>
      <c r="F1569" s="3" t="str">
        <f>CLEAN("ENGLISH RUN CREEK BRIDGE  B-12-0191")</f>
        <v>ENGLISH RUN CREEK BRIDGE  B-12-0191</v>
      </c>
      <c r="G1569" s="3" t="str">
        <f>CLEAN("CONST OPS/BRIDGE REPLACEMENT")</f>
        <v>CONST OPS/BRIDGE REPLACEMENT</v>
      </c>
      <c r="H1569" s="2" t="str">
        <f>CLEAN("CTH H")</f>
        <v>CTH H</v>
      </c>
      <c r="I1569" s="2" t="str">
        <f t="shared" si="254"/>
        <v>205</v>
      </c>
    </row>
    <row r="1570" spans="1:9" x14ac:dyDescent="0.35">
      <c r="A1570" s="2" t="str">
        <f t="shared" si="252"/>
        <v>CRAWFORD</v>
      </c>
      <c r="B1570" s="2" t="str">
        <f t="shared" si="253"/>
        <v>CRAWFORD COUNTY</v>
      </c>
      <c r="C1570" s="2" t="s">
        <v>2044</v>
      </c>
      <c r="D1570" s="2" t="str">
        <f>CLEAN("5495-00-00")</f>
        <v>5495-00-00</v>
      </c>
      <c r="E1570" s="3" t="str">
        <f>CLEAN("CITY PRAIRE DU CHIEN - STH 35")</f>
        <v>CITY PRAIRE DU CHIEN - STH 35</v>
      </c>
      <c r="F1570" s="3" t="str">
        <f>CLEAN("E FREDERICK ST TO CLIFFWOOD DRIVE")</f>
        <v>E FREDERICK ST TO CLIFFWOOD DRIVE</v>
      </c>
      <c r="G1570" s="3" t="str">
        <f>CLEAN("DESIGN/PAVEMENT REPLACEMENT")</f>
        <v>DESIGN/PAVEMENT REPLACEMENT</v>
      </c>
      <c r="H1570" s="2" t="str">
        <f>CLEAN("CTH K")</f>
        <v>CTH K</v>
      </c>
      <c r="I1570" s="2" t="str">
        <f>CLEAN("206")</f>
        <v>206</v>
      </c>
    </row>
    <row r="1571" spans="1:9" x14ac:dyDescent="0.35">
      <c r="A1571" s="2" t="str">
        <f t="shared" si="252"/>
        <v>CRAWFORD</v>
      </c>
      <c r="B1571" s="2" t="str">
        <f t="shared" si="253"/>
        <v>CRAWFORD COUNTY</v>
      </c>
      <c r="C1571" s="2" t="s">
        <v>2210</v>
      </c>
      <c r="D1571" s="2" t="str">
        <f>CLEAN("5527-00-00")</f>
        <v>5527-00-00</v>
      </c>
      <c r="E1571" s="3" t="str">
        <f>CLEAN("CTH KK - USH 14")</f>
        <v>CTH KK - USH 14</v>
      </c>
      <c r="F1571" s="3" t="str">
        <f>CLEAN("PLUM RUN BRIDGE P-12-0903")</f>
        <v>PLUM RUN BRIDGE P-12-0903</v>
      </c>
      <c r="G1571" s="3" t="str">
        <f>CLEAN("DESIGN/PLAN CHECK REVIEW/RECST")</f>
        <v>DESIGN/PLAN CHECK REVIEW/RECST</v>
      </c>
      <c r="H1571" s="2" t="str">
        <f>CLEAN("CTH U")</f>
        <v>CTH U</v>
      </c>
      <c r="I1571" s="2" t="str">
        <f>CLEAN("205")</f>
        <v>205</v>
      </c>
    </row>
    <row r="1572" spans="1:9" x14ac:dyDescent="0.35">
      <c r="A1572" s="2" t="str">
        <f t="shared" si="252"/>
        <v>CRAWFORD</v>
      </c>
      <c r="B1572" s="2" t="str">
        <f t="shared" si="253"/>
        <v>CRAWFORD COUNTY</v>
      </c>
      <c r="C1572" s="2" t="s">
        <v>123</v>
      </c>
      <c r="D1572" s="2" t="str">
        <f>CLEAN("5527-00-70")</f>
        <v>5527-00-70</v>
      </c>
      <c r="E1572" s="3" t="str">
        <f>CLEAN("CTH KK - USH 14")</f>
        <v>CTH KK - USH 14</v>
      </c>
      <c r="F1572" s="3" t="str">
        <f>CLEAN("PLUM RUN BRIDGE B-12-0194")</f>
        <v>PLUM RUN BRIDGE B-12-0194</v>
      </c>
      <c r="G1572" s="3" t="str">
        <f>CLEAN("CONST OPS/BRIDGE REPLACEMENT")</f>
        <v>CONST OPS/BRIDGE REPLACEMENT</v>
      </c>
      <c r="H1572" s="2" t="str">
        <f>CLEAN("CTH U")</f>
        <v>CTH U</v>
      </c>
      <c r="I1572" s="2" t="str">
        <f>CLEAN("205")</f>
        <v>205</v>
      </c>
    </row>
    <row r="1573" spans="1:9" x14ac:dyDescent="0.35">
      <c r="A1573" s="2" t="str">
        <f t="shared" ref="A1573:A1604" si="256">CLEAN("DANE")</f>
        <v>DANE</v>
      </c>
      <c r="B1573" s="2" t="str">
        <f t="shared" ref="B1573:B1579" si="257">CLEAN("DANE CO PARKS")</f>
        <v>DANE CO PARKS</v>
      </c>
      <c r="C1573" s="2" t="s">
        <v>581</v>
      </c>
      <c r="D1573" s="2" t="str">
        <f>CLEAN("5992-09-18")</f>
        <v>5992-09-18</v>
      </c>
      <c r="E1573" s="3" t="str">
        <f>CLEAN("LOWER YAHARA RIVER TRAIL SIGN")</f>
        <v>LOWER YAHARA RIVER TRAIL SIGN</v>
      </c>
      <c r="F1573" s="3" t="str">
        <f>CLEAN("LOWER YAHARA RIVER TRAIL BRIDGE")</f>
        <v>LOWER YAHARA RIVER TRAIL BRIDGE</v>
      </c>
      <c r="G1573" s="3" t="str">
        <f>CLEAN("CONST/INTERPRETIVE SIGN")</f>
        <v>CONST/INTERPRETIVE SIGN</v>
      </c>
      <c r="H1573" s="2" t="str">
        <f>CLEAN("NON HWY")</f>
        <v>NON HWY</v>
      </c>
      <c r="I1573" s="2" t="str">
        <f>CLEAN("206")</f>
        <v>206</v>
      </c>
    </row>
    <row r="1574" spans="1:9" x14ac:dyDescent="0.35">
      <c r="A1574" s="2" t="str">
        <f t="shared" si="256"/>
        <v>DANE</v>
      </c>
      <c r="B1574" s="2" t="str">
        <f t="shared" si="257"/>
        <v>DANE CO PARKS</v>
      </c>
      <c r="C1574" s="2" t="s">
        <v>708</v>
      </c>
      <c r="D1574" s="2" t="str">
        <f>CLEAN("5145-00-71")</f>
        <v>5145-00-71</v>
      </c>
      <c r="E1574" s="3" t="str">
        <f>CLEAN("MAZOMANIE - USH 12")</f>
        <v>MAZOMANIE - USH 12</v>
      </c>
      <c r="F1574" s="3" t="str">
        <f>CLEAN("STH 78 TO USH 12")</f>
        <v>STH 78 TO USH 12</v>
      </c>
      <c r="G1574" s="3" t="str">
        <f>CLEAN("CONST/PULVERZ/B13-796 -797 RPL/RSRF")</f>
        <v>CONST/PULVERZ/B13-796 -797 RPL/RSRF</v>
      </c>
      <c r="H1574" s="2" t="str">
        <f>CLEAN("STH 019")</f>
        <v>STH 019</v>
      </c>
      <c r="I1574" s="2" t="str">
        <f>CLEAN("303")</f>
        <v>303</v>
      </c>
    </row>
    <row r="1575" spans="1:9" x14ac:dyDescent="0.35">
      <c r="A1575" s="2" t="str">
        <f t="shared" si="256"/>
        <v>DANE</v>
      </c>
      <c r="B1575" s="2" t="str">
        <f t="shared" si="257"/>
        <v>DANE CO PARKS</v>
      </c>
      <c r="C1575" s="2" t="s">
        <v>673</v>
      </c>
      <c r="D1575" s="2" t="str">
        <f>CLEAN("5420-02-72")</f>
        <v>5420-02-72</v>
      </c>
      <c r="E1575" s="3" t="str">
        <f>CLEAN("MADISON - LODI")</f>
        <v>MADISON - LODI</v>
      </c>
      <c r="F1575" s="3" t="str">
        <f>CLEAN("KNUTSON DRIVE TO STH 19")</f>
        <v>KNUTSON DRIVE TO STH 19</v>
      </c>
      <c r="G1575" s="3" t="str">
        <f>CLEAN("CONST/PAV'T REPLACE/B-13-233/PVRPLA")</f>
        <v>CONST/PAV'T REPLACE/B-13-233/PVRPLA</v>
      </c>
      <c r="H1575" s="2" t="str">
        <f>CLEAN("STH 113")</f>
        <v>STH 113</v>
      </c>
      <c r="I1575" s="2" t="str">
        <f>CLEAN("303")</f>
        <v>303</v>
      </c>
    </row>
    <row r="1576" spans="1:9" x14ac:dyDescent="0.35">
      <c r="A1576" s="2" t="str">
        <f t="shared" si="256"/>
        <v>DANE</v>
      </c>
      <c r="B1576" s="2" t="str">
        <f t="shared" si="257"/>
        <v>DANE CO PARKS</v>
      </c>
      <c r="C1576" s="2" t="s">
        <v>2926</v>
      </c>
      <c r="D1576" s="2" t="str">
        <f>CLEAN("5666-00-08")</f>
        <v>5666-00-08</v>
      </c>
      <c r="E1576" s="3" t="str">
        <f>CLEAN("WISCONSIN RVR BIKE/PED BRIDGE B428E")</f>
        <v>WISCONSIN RVR BIKE/PED BRIDGE B428E</v>
      </c>
      <c r="F1576" s="3" t="str">
        <f>CLEAN("WALKING IORN TRAIL  DANE COUNTY")</f>
        <v>WALKING IORN TRAIL  DANE COUNTY</v>
      </c>
      <c r="G1576" s="3" t="str">
        <f>CLEAN("PE/PL CHECK REVIEW BIKE/PED BRIDGE")</f>
        <v>PE/PL CHECK REVIEW BIKE/PED BRIDGE</v>
      </c>
      <c r="H1576" s="2" t="str">
        <f>CLEAN("NON HWY")</f>
        <v>NON HWY</v>
      </c>
      <c r="I1576" s="2" t="str">
        <f>CLEAN("290")</f>
        <v>290</v>
      </c>
    </row>
    <row r="1577" spans="1:9" x14ac:dyDescent="0.35">
      <c r="A1577" s="2" t="str">
        <f t="shared" si="256"/>
        <v>DANE</v>
      </c>
      <c r="B1577" s="2" t="str">
        <f t="shared" si="257"/>
        <v>DANE CO PARKS</v>
      </c>
      <c r="C1577" s="2" t="s">
        <v>2054</v>
      </c>
      <c r="D1577" s="2" t="str">
        <f>CLEAN("5666-00-09")</f>
        <v>5666-00-09</v>
      </c>
      <c r="E1577" s="3" t="str">
        <f>CLEAN("T MAZOMANIE  WALKING IRON TRAIL")</f>
        <v>T MAZOMANIE  WALKING IRON TRAIL</v>
      </c>
      <c r="F1577" s="3" t="str">
        <f>CLEAN("CEDAR CREST DR TO STH 78")</f>
        <v>CEDAR CREST DR TO STH 78</v>
      </c>
      <c r="G1577" s="3" t="str">
        <f>CLEAN("DESIGN/PLAN CHECK REVIEW")</f>
        <v>DESIGN/PLAN CHECK REVIEW</v>
      </c>
      <c r="H1577" s="2" t="str">
        <f>CLEAN("NON HWY")</f>
        <v>NON HWY</v>
      </c>
      <c r="I1577" s="2" t="str">
        <f>CLEAN("290")</f>
        <v>290</v>
      </c>
    </row>
    <row r="1578" spans="1:9" x14ac:dyDescent="0.35">
      <c r="A1578" s="2" t="str">
        <f t="shared" si="256"/>
        <v>DANE</v>
      </c>
      <c r="B1578" s="2" t="str">
        <f t="shared" si="257"/>
        <v>DANE CO PARKS</v>
      </c>
      <c r="C1578" s="2" t="s">
        <v>3030</v>
      </c>
      <c r="D1578" s="2" t="str">
        <f>CLEAN("5666-00-78")</f>
        <v>5666-00-78</v>
      </c>
      <c r="E1578" s="3" t="str">
        <f>CLEAN("WISCONSIN RVR BIKE/PED BRIDGE B428E")</f>
        <v>WISCONSIN RVR BIKE/PED BRIDGE B428E</v>
      </c>
      <c r="F1578" s="3" t="str">
        <f>CLEAN("WALKING IRON TRAIL  DANE COUNTY")</f>
        <v>WALKING IRON TRAIL  DANE COUNTY</v>
      </c>
      <c r="G1578" s="3" t="str">
        <f>CLEAN("PEDESTRAIN TRAIL")</f>
        <v>PEDESTRAIN TRAIL</v>
      </c>
      <c r="H1578" s="2" t="str">
        <f>CLEAN("NON HWY")</f>
        <v>NON HWY</v>
      </c>
      <c r="I1578" s="2" t="str">
        <f>CLEAN("290")</f>
        <v>290</v>
      </c>
    </row>
    <row r="1579" spans="1:9" x14ac:dyDescent="0.35">
      <c r="A1579" s="2" t="str">
        <f t="shared" si="256"/>
        <v>DANE</v>
      </c>
      <c r="B1579" s="2" t="str">
        <f t="shared" si="257"/>
        <v>DANE CO PARKS</v>
      </c>
      <c r="C1579" s="2" t="s">
        <v>3038</v>
      </c>
      <c r="D1579" s="2" t="str">
        <f>CLEAN("5666-00-79")</f>
        <v>5666-00-79</v>
      </c>
      <c r="E1579" s="3" t="str">
        <f>CLEAN("T MAZOMANIE  WALKING IRON TRAIL")</f>
        <v>T MAZOMANIE  WALKING IRON TRAIL</v>
      </c>
      <c r="F1579" s="3" t="str">
        <f>CLEAN("CEDAR CREST DR TO STH 78")</f>
        <v>CEDAR CREST DR TO STH 78</v>
      </c>
      <c r="G1579" s="3" t="str">
        <f>CLEAN("PEDESTRIAN TRAIL")</f>
        <v>PEDESTRIAN TRAIL</v>
      </c>
      <c r="H1579" s="2" t="str">
        <f>CLEAN("NON HWY")</f>
        <v>NON HWY</v>
      </c>
      <c r="I1579" s="2" t="str">
        <f>CLEAN("290")</f>
        <v>290</v>
      </c>
    </row>
    <row r="1580" spans="1:9" x14ac:dyDescent="0.35">
      <c r="A1580" s="2" t="str">
        <f t="shared" si="256"/>
        <v>DANE</v>
      </c>
      <c r="B1580" s="2" t="str">
        <f t="shared" ref="B1580:B1611" si="258">CLEAN("DANE COUNTY")</f>
        <v>DANE COUNTY</v>
      </c>
      <c r="C1580" s="2" t="s">
        <v>1807</v>
      </c>
      <c r="D1580" s="2" t="str">
        <f>CLEAN("5993-01-07")</f>
        <v>5993-01-07</v>
      </c>
      <c r="E1580" s="3" t="str">
        <f>CLEAN("CITY OF MIDDLETON  CTH M")</f>
        <v>CITY OF MIDDLETON  CTH M</v>
      </c>
      <c r="F1580" s="3" t="str">
        <f>CLEAN("PHEASANT BR CREEK BRIDGE B-13-0046")</f>
        <v>PHEASANT BR CREEK BRIDGE B-13-0046</v>
      </c>
      <c r="G1580" s="3" t="str">
        <f>CLEAN("DESIGN/BRIDGE REPLACEMENT")</f>
        <v>DESIGN/BRIDGE REPLACEMENT</v>
      </c>
      <c r="H1580" s="2" t="str">
        <f>CLEAN("CTH M")</f>
        <v>CTH M</v>
      </c>
      <c r="I1580" s="2" t="str">
        <f>CLEAN("205")</f>
        <v>205</v>
      </c>
    </row>
    <row r="1581" spans="1:9" x14ac:dyDescent="0.35">
      <c r="A1581" s="2" t="str">
        <f t="shared" si="256"/>
        <v>DANE</v>
      </c>
      <c r="B1581" s="2" t="str">
        <f t="shared" si="258"/>
        <v>DANE COUNTY</v>
      </c>
      <c r="C1581" s="2" t="s">
        <v>1026</v>
      </c>
      <c r="D1581" s="2" t="str">
        <f>CLEAN("3080-01-40")</f>
        <v>3080-01-40</v>
      </c>
      <c r="E1581" s="3" t="str">
        <f>CLEAN("MADISON - CAMBRIDGE")</f>
        <v>MADISON - CAMBRIDGE</v>
      </c>
      <c r="F1581" s="3" t="str">
        <f>CLEAN("CTH AB OVERPASS")</f>
        <v>CTH AB OVERPASS</v>
      </c>
      <c r="G1581" s="3" t="str">
        <f>CLEAN("CONST/SANITARY  WATER  FIBER/MIS")</f>
        <v>CONST/SANITARY  WATER  FIBER/MIS</v>
      </c>
      <c r="H1581" s="2" t="str">
        <f>CLEAN("USH 012")</f>
        <v>USH 012</v>
      </c>
      <c r="I1581" s="2" t="str">
        <f>CLEAN("303")</f>
        <v>303</v>
      </c>
    </row>
    <row r="1582" spans="1:9" x14ac:dyDescent="0.35">
      <c r="A1582" s="2" t="str">
        <f t="shared" si="256"/>
        <v>DANE</v>
      </c>
      <c r="B1582" s="2" t="str">
        <f t="shared" si="258"/>
        <v>DANE COUNTY</v>
      </c>
      <c r="C1582" s="2" t="s">
        <v>1460</v>
      </c>
      <c r="D1582" s="2" t="str">
        <f>CLEAN("3672-00-01")</f>
        <v>3672-00-01</v>
      </c>
      <c r="E1582" s="3" t="str">
        <f>CLEAN("T CHISTIANA - T OAKLAND (CTH A)")</f>
        <v>T CHISTIANA - T OAKLAND (CTH A)</v>
      </c>
      <c r="F1582" s="3" t="str">
        <f>CLEAN("KOSHKONONG CREEK BRIDGE B-13-0056")</f>
        <v>KOSHKONONG CREEK BRIDGE B-13-0056</v>
      </c>
      <c r="G1582" s="3" t="str">
        <f>CLEAN("DESIGN - FULL PS&amp;E BRRPL")</f>
        <v>DESIGN - FULL PS&amp;E BRRPL</v>
      </c>
      <c r="H1582" s="2" t="str">
        <f>CLEAN("CTH A")</f>
        <v>CTH A</v>
      </c>
      <c r="I1582" s="2" t="str">
        <f t="shared" ref="I1582:I1596" si="259">CLEAN("205")</f>
        <v>205</v>
      </c>
    </row>
    <row r="1583" spans="1:9" x14ac:dyDescent="0.35">
      <c r="A1583" s="2" t="str">
        <f t="shared" si="256"/>
        <v>DANE</v>
      </c>
      <c r="B1583" s="2" t="str">
        <f t="shared" si="258"/>
        <v>DANE COUNTY</v>
      </c>
      <c r="C1583" s="2" t="s">
        <v>1481</v>
      </c>
      <c r="D1583" s="2" t="str">
        <f>CLEAN("3672-00-02")</f>
        <v>3672-00-02</v>
      </c>
      <c r="E1583" s="3" t="str">
        <f>CLEAN("CTH X - USH 51 (CTH A)")</f>
        <v>CTH X - USH 51 (CTH A)</v>
      </c>
      <c r="F1583" s="3" t="str">
        <f>CLEAN("SAUNDERS CREEK BRIDGE B-13-0950")</f>
        <v>SAUNDERS CREEK BRIDGE B-13-0950</v>
      </c>
      <c r="G1583" s="3" t="str">
        <f>CLEAN("DESIGN - FULL PS&amp;E BRRPL")</f>
        <v>DESIGN - FULL PS&amp;E BRRPL</v>
      </c>
      <c r="H1583" s="2" t="str">
        <f>CLEAN("CTH A")</f>
        <v>CTH A</v>
      </c>
      <c r="I1583" s="2" t="str">
        <f t="shared" si="259"/>
        <v>205</v>
      </c>
    </row>
    <row r="1584" spans="1:9" x14ac:dyDescent="0.35">
      <c r="A1584" s="2" t="str">
        <f t="shared" si="256"/>
        <v>DANE</v>
      </c>
      <c r="B1584" s="2" t="str">
        <f t="shared" si="258"/>
        <v>DANE COUNTY</v>
      </c>
      <c r="C1584" s="2" t="s">
        <v>102</v>
      </c>
      <c r="D1584" s="2" t="str">
        <f>CLEAN("3672-00-70")</f>
        <v>3672-00-70</v>
      </c>
      <c r="E1584" s="3" t="str">
        <f>CLEAN("T CHISTIANA - T OAKLAND (CTH A)")</f>
        <v>T CHISTIANA - T OAKLAND (CTH A)</v>
      </c>
      <c r="F1584" s="3" t="str">
        <f>CLEAN("KOSHKONONG CREEK BRIDGE B-13-0909")</f>
        <v>KOSHKONONG CREEK BRIDGE B-13-0909</v>
      </c>
      <c r="G1584" s="3" t="str">
        <f>CLEAN("CONST OPS/BRIDGE REPLACEMENT")</f>
        <v>CONST OPS/BRIDGE REPLACEMENT</v>
      </c>
      <c r="H1584" s="2" t="str">
        <f>CLEAN("CTH A")</f>
        <v>CTH A</v>
      </c>
      <c r="I1584" s="2" t="str">
        <f t="shared" si="259"/>
        <v>205</v>
      </c>
    </row>
    <row r="1585" spans="1:9" x14ac:dyDescent="0.35">
      <c r="A1585" s="2" t="str">
        <f t="shared" si="256"/>
        <v>DANE</v>
      </c>
      <c r="B1585" s="2" t="str">
        <f t="shared" si="258"/>
        <v>DANE COUNTY</v>
      </c>
      <c r="C1585" s="2" t="s">
        <v>128</v>
      </c>
      <c r="D1585" s="2" t="str">
        <f>CLEAN("3672-00-72")</f>
        <v>3672-00-72</v>
      </c>
      <c r="E1585" s="3" t="str">
        <f>CLEAN("CTH X - USH 51 (CTH A)")</f>
        <v>CTH X - USH 51 (CTH A)</v>
      </c>
      <c r="F1585" s="3" t="str">
        <f>CLEAN("SAUNDERS CREEK BRIDGE B-13-0914")</f>
        <v>SAUNDERS CREEK BRIDGE B-13-0914</v>
      </c>
      <c r="G1585" s="3" t="str">
        <f>CLEAN("CONST OPS/BRIDGE REPLACEMENT")</f>
        <v>CONST OPS/BRIDGE REPLACEMENT</v>
      </c>
      <c r="H1585" s="2" t="str">
        <f>CLEAN("CTH A")</f>
        <v>CTH A</v>
      </c>
      <c r="I1585" s="2" t="str">
        <f t="shared" si="259"/>
        <v>205</v>
      </c>
    </row>
    <row r="1586" spans="1:9" x14ac:dyDescent="0.35">
      <c r="A1586" s="2" t="str">
        <f t="shared" si="256"/>
        <v>DANE</v>
      </c>
      <c r="B1586" s="2" t="str">
        <f t="shared" si="258"/>
        <v>DANE COUNTY</v>
      </c>
      <c r="C1586" s="2" t="s">
        <v>1463</v>
      </c>
      <c r="D1586" s="2" t="str">
        <f>CLEAN("3677-00-07")</f>
        <v>3677-00-07</v>
      </c>
      <c r="E1586" s="3" t="str">
        <f>CLEAN("CTH N - STH 73 (CTH BB)")</f>
        <v>CTH N - STH 73 (CTH BB)</v>
      </c>
      <c r="F1586" s="3" t="str">
        <f>CLEAN("KOSHKONONG CREEK BRIDGE P-13-0032")</f>
        <v>KOSHKONONG CREEK BRIDGE P-13-0032</v>
      </c>
      <c r="G1586" s="3" t="str">
        <f>CLEAN("DESIGN - FULL PS&amp;E BRRPL")</f>
        <v>DESIGN - FULL PS&amp;E BRRPL</v>
      </c>
      <c r="H1586" s="2" t="str">
        <f>CLEAN("CTH BB")</f>
        <v>CTH BB</v>
      </c>
      <c r="I1586" s="2" t="str">
        <f t="shared" si="259"/>
        <v>205</v>
      </c>
    </row>
    <row r="1587" spans="1:9" x14ac:dyDescent="0.35">
      <c r="A1587" s="2" t="str">
        <f t="shared" si="256"/>
        <v>DANE</v>
      </c>
      <c r="B1587" s="2" t="str">
        <f t="shared" si="258"/>
        <v>DANE COUNTY</v>
      </c>
      <c r="C1587" s="2" t="s">
        <v>105</v>
      </c>
      <c r="D1587" s="2" t="str">
        <f>CLEAN("3677-00-77")</f>
        <v>3677-00-77</v>
      </c>
      <c r="E1587" s="3" t="str">
        <f>CLEAN("CTH N - STH 73 (CTH BB)")</f>
        <v>CTH N - STH 73 (CTH BB)</v>
      </c>
      <c r="F1587" s="3" t="str">
        <f>CLEAN("KOSHKONONG CREEK BRIDGE B-13-0916")</f>
        <v>KOSHKONONG CREEK BRIDGE B-13-0916</v>
      </c>
      <c r="G1587" s="3" t="str">
        <f>CLEAN("CONST OPS/BRIDGE REPLACEMENT")</f>
        <v>CONST OPS/BRIDGE REPLACEMENT</v>
      </c>
      <c r="H1587" s="2" t="str">
        <f>CLEAN("CTH BB")</f>
        <v>CTH BB</v>
      </c>
      <c r="I1587" s="2" t="str">
        <f t="shared" si="259"/>
        <v>205</v>
      </c>
    </row>
    <row r="1588" spans="1:9" x14ac:dyDescent="0.35">
      <c r="A1588" s="2" t="str">
        <f t="shared" si="256"/>
        <v>DANE</v>
      </c>
      <c r="B1588" s="2" t="str">
        <f t="shared" si="258"/>
        <v>DANE COUNTY</v>
      </c>
      <c r="C1588" s="2" t="s">
        <v>1439</v>
      </c>
      <c r="D1588" s="2" t="str">
        <f>CLEAN("3678-00-00")</f>
        <v>3678-00-00</v>
      </c>
      <c r="E1588" s="3" t="str">
        <f>CLEAN("T DUNN - T PLEASANT SPRINGS(CTH MN)")</f>
        <v>T DUNN - T PLEASANT SPRINGS(CTH MN)</v>
      </c>
      <c r="F1588" s="3" t="str">
        <f>CLEAN("DOOR CREEK BRIDGE B-13-0953")</f>
        <v>DOOR CREEK BRIDGE B-13-0953</v>
      </c>
      <c r="G1588" s="3" t="str">
        <f>CLEAN("DESIGN - FULL PS&amp;E BRRPL")</f>
        <v>DESIGN - FULL PS&amp;E BRRPL</v>
      </c>
      <c r="H1588" s="2" t="str">
        <f>CLEAN("CTH MN")</f>
        <v>CTH MN</v>
      </c>
      <c r="I1588" s="2" t="str">
        <f t="shared" si="259"/>
        <v>205</v>
      </c>
    </row>
    <row r="1589" spans="1:9" x14ac:dyDescent="0.35">
      <c r="A1589" s="2" t="str">
        <f t="shared" si="256"/>
        <v>DANE</v>
      </c>
      <c r="B1589" s="2" t="str">
        <f t="shared" si="258"/>
        <v>DANE COUNTY</v>
      </c>
      <c r="C1589" s="2" t="s">
        <v>88</v>
      </c>
      <c r="D1589" s="2" t="str">
        <f>CLEAN("3678-00-70")</f>
        <v>3678-00-70</v>
      </c>
      <c r="E1589" s="3" t="str">
        <f>CLEAN("T DUNN - T PLEASANT SPRINGS(CTH MN)")</f>
        <v>T DUNN - T PLEASANT SPRINGS(CTH MN)</v>
      </c>
      <c r="F1589" s="3" t="str">
        <f>CLEAN("DOOR CREEK BRIDGE B-13-00915")</f>
        <v>DOOR CREEK BRIDGE B-13-00915</v>
      </c>
      <c r="G1589" s="3" t="str">
        <f>CLEAN("CONST OPS/BRIDGE REPLACEMENT")</f>
        <v>CONST OPS/BRIDGE REPLACEMENT</v>
      </c>
      <c r="H1589" s="2" t="str">
        <f>CLEAN("CTH MN")</f>
        <v>CTH MN</v>
      </c>
      <c r="I1589" s="2" t="str">
        <f t="shared" si="259"/>
        <v>205</v>
      </c>
    </row>
    <row r="1590" spans="1:9" x14ac:dyDescent="0.35">
      <c r="A1590" s="2" t="str">
        <f t="shared" si="256"/>
        <v>DANE</v>
      </c>
      <c r="B1590" s="2" t="str">
        <f t="shared" si="258"/>
        <v>DANE COUNTY</v>
      </c>
      <c r="C1590" s="2" t="s">
        <v>1462</v>
      </c>
      <c r="D1590" s="2" t="str">
        <f>CLEAN("3679-00-03")</f>
        <v>3679-00-03</v>
      </c>
      <c r="E1590" s="3" t="str">
        <f>CLEAN("CTH TT - CTH T (CTH N)")</f>
        <v>CTH TT - CTH T (CTH N)</v>
      </c>
      <c r="F1590" s="3" t="str">
        <f>CLEAN("KOSHKONONG CREEK BRIDGE B-13-0081")</f>
        <v>KOSHKONONG CREEK BRIDGE B-13-0081</v>
      </c>
      <c r="G1590" s="3" t="str">
        <f>CLEAN("DESIGN - FULL PS&amp;E BRRPL")</f>
        <v>DESIGN - FULL PS&amp;E BRRPL</v>
      </c>
      <c r="H1590" s="2" t="str">
        <f>CLEAN("CTH N")</f>
        <v>CTH N</v>
      </c>
      <c r="I1590" s="2" t="str">
        <f t="shared" si="259"/>
        <v>205</v>
      </c>
    </row>
    <row r="1591" spans="1:9" x14ac:dyDescent="0.35">
      <c r="A1591" s="2" t="str">
        <f t="shared" si="256"/>
        <v>DANE</v>
      </c>
      <c r="B1591" s="2" t="str">
        <f t="shared" si="258"/>
        <v>DANE COUNTY</v>
      </c>
      <c r="C1591" s="2" t="s">
        <v>1772</v>
      </c>
      <c r="D1591" s="2" t="str">
        <f>CLEAN("3679-00-04")</f>
        <v>3679-00-04</v>
      </c>
      <c r="E1591" s="3" t="str">
        <f>CLEAN("DOOR CREEK - COTTAGE GROVE")</f>
        <v>DOOR CREEK - COTTAGE GROVE</v>
      </c>
      <c r="F1591" s="3" t="str">
        <f>CLEAN("DOOR CREEK BRIDGE B-13-0042")</f>
        <v>DOOR CREEK BRIDGE B-13-0042</v>
      </c>
      <c r="G1591" s="3" t="str">
        <f>CLEAN("DESIGN/BRIDGE REPLACEMENT")</f>
        <v>DESIGN/BRIDGE REPLACEMENT</v>
      </c>
      <c r="H1591" s="2" t="str">
        <f>CLEAN("CTH N")</f>
        <v>CTH N</v>
      </c>
      <c r="I1591" s="2" t="str">
        <f t="shared" si="259"/>
        <v>205</v>
      </c>
    </row>
    <row r="1592" spans="1:9" x14ac:dyDescent="0.35">
      <c r="A1592" s="2" t="str">
        <f t="shared" si="256"/>
        <v>DANE</v>
      </c>
      <c r="B1592" s="2" t="str">
        <f t="shared" si="258"/>
        <v>DANE COUNTY</v>
      </c>
      <c r="C1592" s="2" t="s">
        <v>104</v>
      </c>
      <c r="D1592" s="2" t="str">
        <f>CLEAN("3679-00-73")</f>
        <v>3679-00-73</v>
      </c>
      <c r="E1592" s="3" t="str">
        <f>CLEAN("CTH TT - CTH T (CTH N)")</f>
        <v>CTH TT - CTH T (CTH N)</v>
      </c>
      <c r="F1592" s="3" t="str">
        <f>CLEAN("KOSHKONONG CREEK BRIDGE B-13-0911")</f>
        <v>KOSHKONONG CREEK BRIDGE B-13-0911</v>
      </c>
      <c r="G1592" s="3" t="str">
        <f>CLEAN("CONST OPS/BRIDGE REPLACEMENT")</f>
        <v>CONST OPS/BRIDGE REPLACEMENT</v>
      </c>
      <c r="H1592" s="2" t="str">
        <f>CLEAN("CTH N")</f>
        <v>CTH N</v>
      </c>
      <c r="I1592" s="2" t="str">
        <f t="shared" si="259"/>
        <v>205</v>
      </c>
    </row>
    <row r="1593" spans="1:9" x14ac:dyDescent="0.35">
      <c r="A1593" s="2" t="str">
        <f t="shared" si="256"/>
        <v>DANE</v>
      </c>
      <c r="B1593" s="2" t="str">
        <f t="shared" si="258"/>
        <v>DANE COUNTY</v>
      </c>
      <c r="C1593" s="2" t="s">
        <v>1468</v>
      </c>
      <c r="D1593" s="2" t="str">
        <f>CLEAN("3682-00-00")</f>
        <v>3682-00-00</v>
      </c>
      <c r="E1593" s="3" t="str">
        <f>CLEAN("T MEDINA - T YORK (CTH TT)")</f>
        <v>T MEDINA - T YORK (CTH TT)</v>
      </c>
      <c r="F1593" s="3" t="str">
        <f>CLEAN("MAUNESHA RIVER BRIDGE B-13-0207")</f>
        <v>MAUNESHA RIVER BRIDGE B-13-0207</v>
      </c>
      <c r="G1593" s="3" t="str">
        <f>CLEAN("DESIGN - FULL PS&amp;E BRRPL")</f>
        <v>DESIGN - FULL PS&amp;E BRRPL</v>
      </c>
      <c r="H1593" s="2" t="str">
        <f>CLEAN("CTH TT")</f>
        <v>CTH TT</v>
      </c>
      <c r="I1593" s="2" t="str">
        <f t="shared" si="259"/>
        <v>205</v>
      </c>
    </row>
    <row r="1594" spans="1:9" x14ac:dyDescent="0.35">
      <c r="A1594" s="2" t="str">
        <f t="shared" si="256"/>
        <v>DANE</v>
      </c>
      <c r="B1594" s="2" t="str">
        <f t="shared" si="258"/>
        <v>DANE COUNTY</v>
      </c>
      <c r="C1594" s="2" t="s">
        <v>113</v>
      </c>
      <c r="D1594" s="2" t="str">
        <f>CLEAN("3682-00-70")</f>
        <v>3682-00-70</v>
      </c>
      <c r="E1594" s="3" t="str">
        <f>CLEAN("T MEDINA - T YORK (CTH TT)")</f>
        <v>T MEDINA - T YORK (CTH TT)</v>
      </c>
      <c r="F1594" s="3" t="str">
        <f>CLEAN("MAUNESHA RIVER BRIDGE B-13-0913")</f>
        <v>MAUNESHA RIVER BRIDGE B-13-0913</v>
      </c>
      <c r="G1594" s="3" t="str">
        <f>CLEAN("CONST OPS/BRIDGE REPLACEMENT")</f>
        <v>CONST OPS/BRIDGE REPLACEMENT</v>
      </c>
      <c r="H1594" s="2" t="str">
        <f>CLEAN("CTH TT")</f>
        <v>CTH TT</v>
      </c>
      <c r="I1594" s="2" t="str">
        <f t="shared" si="259"/>
        <v>205</v>
      </c>
    </row>
    <row r="1595" spans="1:9" x14ac:dyDescent="0.35">
      <c r="A1595" s="2" t="str">
        <f t="shared" si="256"/>
        <v>DANE</v>
      </c>
      <c r="B1595" s="2" t="str">
        <f t="shared" si="258"/>
        <v>DANE COUNTY</v>
      </c>
      <c r="C1595" s="2" t="s">
        <v>1461</v>
      </c>
      <c r="D1595" s="2" t="str">
        <f>CLEAN("3686-00-00")</f>
        <v>3686-00-00</v>
      </c>
      <c r="E1595" s="3" t="str">
        <f>CLEAN("STH 73 - USH 12 (CTH PQ)")</f>
        <v>STH 73 - USH 12 (CTH PQ)</v>
      </c>
      <c r="F1595" s="3" t="str">
        <f>CLEAN("KOSHKONONG CREEK BRIDGE B-13-0072")</f>
        <v>KOSHKONONG CREEK BRIDGE B-13-0072</v>
      </c>
      <c r="G1595" s="3" t="str">
        <f>CLEAN("DESIGN - FULL PS&amp;E BRRPL")</f>
        <v>DESIGN - FULL PS&amp;E BRRPL</v>
      </c>
      <c r="H1595" s="2" t="str">
        <f>CLEAN("LOC STR")</f>
        <v>LOC STR</v>
      </c>
      <c r="I1595" s="2" t="str">
        <f t="shared" si="259"/>
        <v>205</v>
      </c>
    </row>
    <row r="1596" spans="1:9" x14ac:dyDescent="0.35">
      <c r="A1596" s="2" t="str">
        <f t="shared" si="256"/>
        <v>DANE</v>
      </c>
      <c r="B1596" s="2" t="str">
        <f t="shared" si="258"/>
        <v>DANE COUNTY</v>
      </c>
      <c r="C1596" s="2" t="s">
        <v>103</v>
      </c>
      <c r="D1596" s="2" t="str">
        <f>CLEAN("3686-00-70")</f>
        <v>3686-00-70</v>
      </c>
      <c r="E1596" s="3" t="str">
        <f>CLEAN("STH 73 - USH 12 (CTH PQ)")</f>
        <v>STH 73 - USH 12 (CTH PQ)</v>
      </c>
      <c r="F1596" s="3" t="str">
        <f>CLEAN("KOSHKONONG CREEK BRIDGE B-13-0910")</f>
        <v>KOSHKONONG CREEK BRIDGE B-13-0910</v>
      </c>
      <c r="G1596" s="3" t="str">
        <f>CLEAN("CONST OPS/BRIDGE REPLACEMENT")</f>
        <v>CONST OPS/BRIDGE REPLACEMENT</v>
      </c>
      <c r="H1596" s="2" t="str">
        <f>CLEAN("LOC STR")</f>
        <v>LOC STR</v>
      </c>
      <c r="I1596" s="2" t="str">
        <f t="shared" si="259"/>
        <v>205</v>
      </c>
    </row>
    <row r="1597" spans="1:9" x14ac:dyDescent="0.35">
      <c r="A1597" s="2" t="str">
        <f t="shared" si="256"/>
        <v>DANE</v>
      </c>
      <c r="B1597" s="2" t="str">
        <f t="shared" si="258"/>
        <v>DANE COUNTY</v>
      </c>
      <c r="C1597" s="2" t="s">
        <v>1682</v>
      </c>
      <c r="D1597" s="2" t="str">
        <f>CLEAN("5556-04-00")</f>
        <v>5556-04-00</v>
      </c>
      <c r="E1597" s="3" t="str">
        <f>CLEAN("STH 19 - CTH V")</f>
        <v>STH 19 - CTH V</v>
      </c>
      <c r="F1597" s="3" t="str">
        <f>CLEAN("CURVE AT EASY STREET (EAST)")</f>
        <v>CURVE AT EASY STREET (EAST)</v>
      </c>
      <c r="G1597" s="3" t="str">
        <f>CLEAN("DESIGN - PLAN CHECK REVIEW/RECST")</f>
        <v>DESIGN - PLAN CHECK REVIEW/RECST</v>
      </c>
      <c r="H1597" s="2" t="str">
        <f>CLEAN("CTH I")</f>
        <v>CTH I</v>
      </c>
      <c r="I1597" s="2" t="str">
        <f>CLEAN("206")</f>
        <v>206</v>
      </c>
    </row>
    <row r="1598" spans="1:9" x14ac:dyDescent="0.35">
      <c r="A1598" s="2" t="str">
        <f t="shared" si="256"/>
        <v>DANE</v>
      </c>
      <c r="B1598" s="2" t="str">
        <f t="shared" si="258"/>
        <v>DANE COUNTY</v>
      </c>
      <c r="C1598" s="2" t="s">
        <v>2322</v>
      </c>
      <c r="D1598" s="2" t="str">
        <f>CLEAN("5572-00-02")</f>
        <v>5572-00-02</v>
      </c>
      <c r="E1598" s="3" t="str">
        <f>CLEAN("STH 78 - USH 14")</f>
        <v>STH 78 - USH 14</v>
      </c>
      <c r="F1598" s="3" t="str">
        <f>CLEAN("BLACK EARTH CREEK  B-13-0215")</f>
        <v>BLACK EARTH CREEK  B-13-0215</v>
      </c>
      <c r="G1598" s="3" t="str">
        <f>CLEAN("DESIGN-FULL PS&amp;E/BRIDGE REPLACEMENT")</f>
        <v>DESIGN-FULL PS&amp;E/BRIDGE REPLACEMENT</v>
      </c>
      <c r="H1598" s="2" t="str">
        <f>CLEAN("CTH KP")</f>
        <v>CTH KP</v>
      </c>
      <c r="I1598" s="2" t="str">
        <f t="shared" ref="I1598:I1616" si="260">CLEAN("205")</f>
        <v>205</v>
      </c>
    </row>
    <row r="1599" spans="1:9" x14ac:dyDescent="0.35">
      <c r="A1599" s="2" t="str">
        <f t="shared" si="256"/>
        <v>DANE</v>
      </c>
      <c r="B1599" s="2" t="str">
        <f t="shared" si="258"/>
        <v>DANE COUNTY</v>
      </c>
      <c r="C1599" s="2" t="s">
        <v>401</v>
      </c>
      <c r="D1599" s="2" t="str">
        <f>CLEAN("5572-00-72")</f>
        <v>5572-00-72</v>
      </c>
      <c r="E1599" s="3" t="str">
        <f>CLEAN("STH 78 - USH 14")</f>
        <v>STH 78 - USH 14</v>
      </c>
      <c r="F1599" s="3" t="str">
        <f>CLEAN("BLACK EARTH CREEK  B-13-0883")</f>
        <v>BLACK EARTH CREEK  B-13-0883</v>
      </c>
      <c r="G1599" s="3" t="str">
        <f>CLEAN("CONST/BRIDGE REPLACEMENT")</f>
        <v>CONST/BRIDGE REPLACEMENT</v>
      </c>
      <c r="H1599" s="2" t="str">
        <f>CLEAN("CTH KP")</f>
        <v>CTH KP</v>
      </c>
      <c r="I1599" s="2" t="str">
        <f t="shared" si="260"/>
        <v>205</v>
      </c>
    </row>
    <row r="1600" spans="1:9" x14ac:dyDescent="0.35">
      <c r="A1600" s="2" t="str">
        <f t="shared" si="256"/>
        <v>DANE</v>
      </c>
      <c r="B1600" s="2" t="str">
        <f t="shared" si="258"/>
        <v>DANE COUNTY</v>
      </c>
      <c r="C1600" s="2" t="s">
        <v>2219</v>
      </c>
      <c r="D1600" s="2" t="str">
        <f>CLEAN("5658-00-06")</f>
        <v>5658-00-06</v>
      </c>
      <c r="E1600" s="3" t="str">
        <f>CLEAN("STH 69 - USH 151")</f>
        <v>STH 69 - USH 151</v>
      </c>
      <c r="F1600" s="3" t="str">
        <f>CLEAN("SUGAR RIVER BRIDGE B-13-0049")</f>
        <v>SUGAR RIVER BRIDGE B-13-0049</v>
      </c>
      <c r="G1600" s="3" t="str">
        <f>CLEAN("DESIGN/PLAN CHECK REVIEW/RECST")</f>
        <v>DESIGN/PLAN CHECK REVIEW/RECST</v>
      </c>
      <c r="H1600" s="2" t="str">
        <f>CLEAN("CTH PB")</f>
        <v>CTH PB</v>
      </c>
      <c r="I1600" s="2" t="str">
        <f t="shared" si="260"/>
        <v>205</v>
      </c>
    </row>
    <row r="1601" spans="1:9" x14ac:dyDescent="0.35">
      <c r="A1601" s="2" t="str">
        <f t="shared" si="256"/>
        <v>DANE</v>
      </c>
      <c r="B1601" s="2" t="str">
        <f t="shared" si="258"/>
        <v>DANE COUNTY</v>
      </c>
      <c r="C1601" s="2" t="s">
        <v>2332</v>
      </c>
      <c r="D1601" s="2" t="str">
        <f>CLEAN("5665-00-05")</f>
        <v>5665-00-05</v>
      </c>
      <c r="E1601" s="3" t="str">
        <f>CLEAN("CTH A - USH 151")</f>
        <v>CTH A - USH 151</v>
      </c>
      <c r="F1601" s="3" t="str">
        <f>CLEAN("W BR OF SUGAR RIVER BR  B-13-0069")</f>
        <v>W BR OF SUGAR RIVER BR  B-13-0069</v>
      </c>
      <c r="G1601" s="3" t="str">
        <f>CLEAN("DESIGN-FULL PS&amp;E/BRIDGE REPLACEMENT")</f>
        <v>DESIGN-FULL PS&amp;E/BRIDGE REPLACEMENT</v>
      </c>
      <c r="H1601" s="2" t="str">
        <f>CLEAN("CTH JG")</f>
        <v>CTH JG</v>
      </c>
      <c r="I1601" s="2" t="str">
        <f t="shared" si="260"/>
        <v>205</v>
      </c>
    </row>
    <row r="1602" spans="1:9" x14ac:dyDescent="0.35">
      <c r="A1602" s="2" t="str">
        <f t="shared" si="256"/>
        <v>DANE</v>
      </c>
      <c r="B1602" s="2" t="str">
        <f t="shared" si="258"/>
        <v>DANE COUNTY</v>
      </c>
      <c r="C1602" s="2" t="s">
        <v>469</v>
      </c>
      <c r="D1602" s="2" t="str">
        <f>CLEAN("5665-00-75")</f>
        <v>5665-00-75</v>
      </c>
      <c r="E1602" s="3" t="str">
        <f>CLEAN("CTH A - USH 151")</f>
        <v>CTH A - USH 151</v>
      </c>
      <c r="F1602" s="3" t="str">
        <f>CLEAN("W BR OF SUGAR RIVER BR  B-13-0884")</f>
        <v>W BR OF SUGAR RIVER BR  B-13-0884</v>
      </c>
      <c r="G1602" s="3" t="str">
        <f>CLEAN("CONST/BRIDGE REPLACEMENT")</f>
        <v>CONST/BRIDGE REPLACEMENT</v>
      </c>
      <c r="H1602" s="2" t="str">
        <f>CLEAN("CTH JG")</f>
        <v>CTH JG</v>
      </c>
      <c r="I1602" s="2" t="str">
        <f t="shared" si="260"/>
        <v>205</v>
      </c>
    </row>
    <row r="1603" spans="1:9" x14ac:dyDescent="0.35">
      <c r="A1603" s="2" t="str">
        <f t="shared" si="256"/>
        <v>DANE</v>
      </c>
      <c r="B1603" s="2" t="str">
        <f t="shared" si="258"/>
        <v>DANE COUNTY</v>
      </c>
      <c r="C1603" s="2" t="s">
        <v>1775</v>
      </c>
      <c r="D1603" s="2" t="str">
        <f>CLEAN("5844-00-04")</f>
        <v>5844-00-04</v>
      </c>
      <c r="E1603" s="3" t="str">
        <f>CLEAN("CTH FF - CTH KP")</f>
        <v>CTH FF - CTH KP</v>
      </c>
      <c r="F1603" s="3" t="str">
        <f>CLEAN("E BR BLUE MOUND CK BRIDGE B-13-0024")</f>
        <v>E BR BLUE MOUND CK BRIDGE B-13-0024</v>
      </c>
      <c r="G1603" s="3" t="str">
        <f>CLEAN("DESIGN/BRIDGE REPLACEMENT")</f>
        <v>DESIGN/BRIDGE REPLACEMENT</v>
      </c>
      <c r="H1603" s="2" t="str">
        <f>CLEAN("CTH F")</f>
        <v>CTH F</v>
      </c>
      <c r="I1603" s="2" t="str">
        <f t="shared" si="260"/>
        <v>205</v>
      </c>
    </row>
    <row r="1604" spans="1:9" x14ac:dyDescent="0.35">
      <c r="A1604" s="2" t="str">
        <f t="shared" si="256"/>
        <v>DANE</v>
      </c>
      <c r="B1604" s="2" t="str">
        <f t="shared" si="258"/>
        <v>DANE COUNTY</v>
      </c>
      <c r="C1604" s="2" t="s">
        <v>1823</v>
      </c>
      <c r="D1604" s="2" t="str">
        <f>CLEAN("5844-00-05")</f>
        <v>5844-00-05</v>
      </c>
      <c r="E1604" s="3" t="str">
        <f>CLEAN("CTH J - STH 78")</f>
        <v>CTH J - STH 78</v>
      </c>
      <c r="F1604" s="3" t="str">
        <f>CLEAN("VERMONT CREEK BRIDGE P-13-0918")</f>
        <v>VERMONT CREEK BRIDGE P-13-0918</v>
      </c>
      <c r="G1604" s="3" t="str">
        <f>CLEAN("DESIGN/BRIDGE REPLACEMENT")</f>
        <v>DESIGN/BRIDGE REPLACEMENT</v>
      </c>
      <c r="H1604" s="2" t="str">
        <f>CLEAN("CTH JJ")</f>
        <v>CTH JJ</v>
      </c>
      <c r="I1604" s="2" t="str">
        <f t="shared" si="260"/>
        <v>205</v>
      </c>
    </row>
    <row r="1605" spans="1:9" x14ac:dyDescent="0.35">
      <c r="A1605" s="2" t="str">
        <f t="shared" ref="A1605:A1631" si="261">CLEAN("DANE")</f>
        <v>DANE</v>
      </c>
      <c r="B1605" s="2" t="str">
        <f t="shared" si="258"/>
        <v>DANE COUNTY</v>
      </c>
      <c r="C1605" s="2" t="s">
        <v>90</v>
      </c>
      <c r="D1605" s="2" t="str">
        <f>CLEAN("5844-00-74")</f>
        <v>5844-00-74</v>
      </c>
      <c r="E1605" s="3" t="str">
        <f>CLEAN("CTH FF - CTH KP")</f>
        <v>CTH FF - CTH KP</v>
      </c>
      <c r="F1605" s="3" t="str">
        <f>CLEAN("E BR BLUE MOUND CK BRIDGE B-13-0686")</f>
        <v>E BR BLUE MOUND CK BRIDGE B-13-0686</v>
      </c>
      <c r="G1605" s="3" t="str">
        <f>CLEAN("CONST OPS/BRIDGE REPLACEMENT")</f>
        <v>CONST OPS/BRIDGE REPLACEMENT</v>
      </c>
      <c r="H1605" s="2" t="str">
        <f>CLEAN("CTH F")</f>
        <v>CTH F</v>
      </c>
      <c r="I1605" s="2" t="str">
        <f t="shared" si="260"/>
        <v>205</v>
      </c>
    </row>
    <row r="1606" spans="1:9" x14ac:dyDescent="0.35">
      <c r="A1606" s="2" t="str">
        <f t="shared" si="261"/>
        <v>DANE</v>
      </c>
      <c r="B1606" s="2" t="str">
        <f t="shared" si="258"/>
        <v>DANE COUNTY</v>
      </c>
      <c r="C1606" s="2" t="s">
        <v>468</v>
      </c>
      <c r="D1606" s="2" t="str">
        <f>CLEAN("5844-00-75")</f>
        <v>5844-00-75</v>
      </c>
      <c r="E1606" s="3" t="str">
        <f>CLEAN("CTH J - STH 78")</f>
        <v>CTH J - STH 78</v>
      </c>
      <c r="F1606" s="3" t="str">
        <f>CLEAN("VERMONT CREEK BRIDGE B-13-0928")</f>
        <v>VERMONT CREEK BRIDGE B-13-0928</v>
      </c>
      <c r="G1606" s="3" t="str">
        <f>CLEAN("CONST/BRIDGE REPLACEMENT")</f>
        <v>CONST/BRIDGE REPLACEMENT</v>
      </c>
      <c r="H1606" s="2" t="str">
        <f>CLEAN("CTH JJ")</f>
        <v>CTH JJ</v>
      </c>
      <c r="I1606" s="2" t="str">
        <f t="shared" si="260"/>
        <v>205</v>
      </c>
    </row>
    <row r="1607" spans="1:9" x14ac:dyDescent="0.35">
      <c r="A1607" s="2" t="str">
        <f t="shared" si="261"/>
        <v>DANE</v>
      </c>
      <c r="B1607" s="2" t="str">
        <f t="shared" si="258"/>
        <v>DANE COUNTY</v>
      </c>
      <c r="C1607" s="2" t="s">
        <v>1802</v>
      </c>
      <c r="D1607" s="2" t="str">
        <f>CLEAN("5848-00-01")</f>
        <v>5848-00-01</v>
      </c>
      <c r="E1607" s="3" t="str">
        <f>CLEAN("STH 92 - CTH PB")</f>
        <v>STH 92 - CTH PB</v>
      </c>
      <c r="F1607" s="3" t="str">
        <f>CLEAN("MT VERNON CREEK BRIDGE  B-13-0048")</f>
        <v>MT VERNON CREEK BRIDGE  B-13-0048</v>
      </c>
      <c r="G1607" s="3" t="str">
        <f>CLEAN("DESIGN/BRIDGE REPLACEMENT")</f>
        <v>DESIGN/BRIDGE REPLACEMENT</v>
      </c>
      <c r="H1607" s="2" t="str">
        <f>CLEAN("CTH A")</f>
        <v>CTH A</v>
      </c>
      <c r="I1607" s="2" t="str">
        <f t="shared" si="260"/>
        <v>205</v>
      </c>
    </row>
    <row r="1608" spans="1:9" x14ac:dyDescent="0.35">
      <c r="A1608" s="2" t="str">
        <f t="shared" si="261"/>
        <v>DANE</v>
      </c>
      <c r="B1608" s="2" t="str">
        <f t="shared" si="258"/>
        <v>DANE COUNTY</v>
      </c>
      <c r="C1608" s="2" t="s">
        <v>117</v>
      </c>
      <c r="D1608" s="2" t="str">
        <f>CLEAN("5848-00-71")</f>
        <v>5848-00-71</v>
      </c>
      <c r="E1608" s="3" t="str">
        <f>CLEAN("STH 92 - CTH PB")</f>
        <v>STH 92 - CTH PB</v>
      </c>
      <c r="F1608" s="3" t="str">
        <f>CLEAN("MT VERNON CREEK BRIDGE  B-13-0687")</f>
        <v>MT VERNON CREEK BRIDGE  B-13-0687</v>
      </c>
      <c r="G1608" s="3" t="str">
        <f>CLEAN("CONST OPS/BRIDGE REPLACEMENT")</f>
        <v>CONST OPS/BRIDGE REPLACEMENT</v>
      </c>
      <c r="H1608" s="2" t="str">
        <f>CLEAN("CTH A")</f>
        <v>CTH A</v>
      </c>
      <c r="I1608" s="2" t="str">
        <f t="shared" si="260"/>
        <v>205</v>
      </c>
    </row>
    <row r="1609" spans="1:9" x14ac:dyDescent="0.35">
      <c r="A1609" s="2" t="str">
        <f t="shared" si="261"/>
        <v>DANE</v>
      </c>
      <c r="B1609" s="2" t="str">
        <f t="shared" si="258"/>
        <v>DANE COUNTY</v>
      </c>
      <c r="C1609" s="2" t="s">
        <v>2328</v>
      </c>
      <c r="D1609" s="2" t="str">
        <f>CLEAN("5856-00-02")</f>
        <v>5856-00-02</v>
      </c>
      <c r="E1609" s="3" t="str">
        <f>CLEAN("CTH Z - STH 78")</f>
        <v>CTH Z - STH 78</v>
      </c>
      <c r="F1609" s="3" t="str">
        <f>CLEAN("GERMAN VALLEY CREEK BR  P-13-0901")</f>
        <v>GERMAN VALLEY CREEK BR  P-13-0901</v>
      </c>
      <c r="G1609" s="3" t="str">
        <f>CLEAN("DESIGN-FULL PS&amp;E/BRIDGE REPLACEMENT")</f>
        <v>DESIGN-FULL PS&amp;E/BRIDGE REPLACEMENT</v>
      </c>
      <c r="H1609" s="2" t="str">
        <f>CLEAN("CTH E")</f>
        <v>CTH E</v>
      </c>
      <c r="I1609" s="2" t="str">
        <f t="shared" si="260"/>
        <v>205</v>
      </c>
    </row>
    <row r="1610" spans="1:9" x14ac:dyDescent="0.35">
      <c r="A1610" s="2" t="str">
        <f t="shared" si="261"/>
        <v>DANE</v>
      </c>
      <c r="B1610" s="2" t="str">
        <f t="shared" si="258"/>
        <v>DANE COUNTY</v>
      </c>
      <c r="C1610" s="2" t="s">
        <v>438</v>
      </c>
      <c r="D1610" s="2" t="str">
        <f>CLEAN("5856-00-72")</f>
        <v>5856-00-72</v>
      </c>
      <c r="E1610" s="3" t="str">
        <f>CLEAN("CTH Z - STH 78")</f>
        <v>CTH Z - STH 78</v>
      </c>
      <c r="F1610" s="3" t="str">
        <f>CLEAN("GERMAN VALLEY CREEK BR  B-13-0888")</f>
        <v>GERMAN VALLEY CREEK BR  B-13-0888</v>
      </c>
      <c r="G1610" s="3" t="str">
        <f>CLEAN("CONST/BRIDGE REPLACEMENT")</f>
        <v>CONST/BRIDGE REPLACEMENT</v>
      </c>
      <c r="H1610" s="2" t="str">
        <f>CLEAN("CTH E")</f>
        <v>CTH E</v>
      </c>
      <c r="I1610" s="2" t="str">
        <f t="shared" si="260"/>
        <v>205</v>
      </c>
    </row>
    <row r="1611" spans="1:9" x14ac:dyDescent="0.35">
      <c r="A1611" s="2" t="str">
        <f t="shared" si="261"/>
        <v>DANE</v>
      </c>
      <c r="B1611" s="2" t="str">
        <f t="shared" si="258"/>
        <v>DANE COUNTY</v>
      </c>
      <c r="C1611" s="2" t="s">
        <v>1875</v>
      </c>
      <c r="D1611" s="2" t="str">
        <f>CLEAN("5889-00-03")</f>
        <v>5889-00-03</v>
      </c>
      <c r="E1611" s="3" t="str">
        <f t="shared" ref="E1611:E1616" si="262">CLEAN("T PRIMROSE - T SPRINGDALE (CTH G)")</f>
        <v>T PRIMROSE - T SPRINGDALE (CTH G)</v>
      </c>
      <c r="F1611" s="3" t="str">
        <f>CLEAN("MT VERNON CREEK BRIDGE B-13-0028")</f>
        <v>MT VERNON CREEK BRIDGE B-13-0028</v>
      </c>
      <c r="G1611" s="3" t="str">
        <f>CLEAN("DESIGN/FULL PS&amp;E BRRPL")</f>
        <v>DESIGN/FULL PS&amp;E BRRPL</v>
      </c>
      <c r="H1611" s="2" t="str">
        <f t="shared" ref="H1611:H1616" si="263">CLEAN("CTH G")</f>
        <v>CTH G</v>
      </c>
      <c r="I1611" s="2" t="str">
        <f t="shared" si="260"/>
        <v>205</v>
      </c>
    </row>
    <row r="1612" spans="1:9" x14ac:dyDescent="0.35">
      <c r="A1612" s="2" t="str">
        <f t="shared" si="261"/>
        <v>DANE</v>
      </c>
      <c r="B1612" s="2" t="str">
        <f t="shared" ref="B1612:B1631" si="264">CLEAN("DANE COUNTY")</f>
        <v>DANE COUNTY</v>
      </c>
      <c r="C1612" s="2" t="s">
        <v>1881</v>
      </c>
      <c r="D1612" s="2" t="str">
        <f>CLEAN("5889-00-04")</f>
        <v>5889-00-04</v>
      </c>
      <c r="E1612" s="3" t="str">
        <f t="shared" si="262"/>
        <v>T PRIMROSE - T SPRINGDALE (CTH G)</v>
      </c>
      <c r="F1612" s="3" t="str">
        <f>CLEAN("W BR SUGAR RIVER BRIDGE B-13-0039")</f>
        <v>W BR SUGAR RIVER BRIDGE B-13-0039</v>
      </c>
      <c r="G1612" s="3" t="str">
        <f>CLEAN("DESIGN/FULL PS&amp;E BRRPL")</f>
        <v>DESIGN/FULL PS&amp;E BRRPL</v>
      </c>
      <c r="H1612" s="2" t="str">
        <f t="shared" si="263"/>
        <v>CTH G</v>
      </c>
      <c r="I1612" s="2" t="str">
        <f t="shared" si="260"/>
        <v>205</v>
      </c>
    </row>
    <row r="1613" spans="1:9" x14ac:dyDescent="0.35">
      <c r="A1613" s="2" t="str">
        <f t="shared" si="261"/>
        <v>DANE</v>
      </c>
      <c r="B1613" s="2" t="str">
        <f t="shared" si="264"/>
        <v>DANE COUNTY</v>
      </c>
      <c r="C1613" s="2" t="s">
        <v>1882</v>
      </c>
      <c r="D1613" s="2" t="str">
        <f>CLEAN("5889-00-05")</f>
        <v>5889-00-05</v>
      </c>
      <c r="E1613" s="3" t="str">
        <f t="shared" si="262"/>
        <v>T PRIMROSE - T SPRINGDALE (CTH G)</v>
      </c>
      <c r="F1613" s="3" t="str">
        <f>CLEAN("W BRANCH SUGAR RV BRIDGE B-13-0040")</f>
        <v>W BRANCH SUGAR RV BRIDGE B-13-0040</v>
      </c>
      <c r="G1613" s="3" t="str">
        <f>CLEAN("DESIGN/FULL PS&amp;E BRRPL")</f>
        <v>DESIGN/FULL PS&amp;E BRRPL</v>
      </c>
      <c r="H1613" s="2" t="str">
        <f t="shared" si="263"/>
        <v>CTH G</v>
      </c>
      <c r="I1613" s="2" t="str">
        <f t="shared" si="260"/>
        <v>205</v>
      </c>
    </row>
    <row r="1614" spans="1:9" x14ac:dyDescent="0.35">
      <c r="A1614" s="2" t="str">
        <f t="shared" si="261"/>
        <v>DANE</v>
      </c>
      <c r="B1614" s="2" t="str">
        <f t="shared" si="264"/>
        <v>DANE COUNTY</v>
      </c>
      <c r="C1614" s="2" t="s">
        <v>118</v>
      </c>
      <c r="D1614" s="2" t="str">
        <f>CLEAN("5889-00-73")</f>
        <v>5889-00-73</v>
      </c>
      <c r="E1614" s="3" t="str">
        <f t="shared" si="262"/>
        <v>T PRIMROSE - T SPRINGDALE (CTH G)</v>
      </c>
      <c r="F1614" s="3" t="str">
        <f>CLEAN("MT VERNON CREEK BRIDGE B-13-0902")</f>
        <v>MT VERNON CREEK BRIDGE B-13-0902</v>
      </c>
      <c r="G1614" s="3" t="str">
        <f>CLEAN("CONST OPS/BRIDGE REPLACEMENT")</f>
        <v>CONST OPS/BRIDGE REPLACEMENT</v>
      </c>
      <c r="H1614" s="2" t="str">
        <f t="shared" si="263"/>
        <v>CTH G</v>
      </c>
      <c r="I1614" s="2" t="str">
        <f t="shared" si="260"/>
        <v>205</v>
      </c>
    </row>
    <row r="1615" spans="1:9" x14ac:dyDescent="0.35">
      <c r="A1615" s="2" t="str">
        <f t="shared" si="261"/>
        <v>DANE</v>
      </c>
      <c r="B1615" s="2" t="str">
        <f t="shared" si="264"/>
        <v>DANE COUNTY</v>
      </c>
      <c r="C1615" s="2" t="s">
        <v>136</v>
      </c>
      <c r="D1615" s="2" t="str">
        <f>CLEAN("5889-00-74")</f>
        <v>5889-00-74</v>
      </c>
      <c r="E1615" s="3" t="str">
        <f t="shared" si="262"/>
        <v>T PRIMROSE - T SPRINGDALE (CTH G)</v>
      </c>
      <c r="F1615" s="3" t="str">
        <f>CLEAN("W BR SUGAR RIVER BRIDGE B-13-0903")</f>
        <v>W BR SUGAR RIVER BRIDGE B-13-0903</v>
      </c>
      <c r="G1615" s="3" t="str">
        <f>CLEAN("CONST OPS/BRIDGE REPLACEMENT")</f>
        <v>CONST OPS/BRIDGE REPLACEMENT</v>
      </c>
      <c r="H1615" s="2" t="str">
        <f t="shared" si="263"/>
        <v>CTH G</v>
      </c>
      <c r="I1615" s="2" t="str">
        <f t="shared" si="260"/>
        <v>205</v>
      </c>
    </row>
    <row r="1616" spans="1:9" x14ac:dyDescent="0.35">
      <c r="A1616" s="2" t="str">
        <f t="shared" si="261"/>
        <v>DANE</v>
      </c>
      <c r="B1616" s="2" t="str">
        <f t="shared" si="264"/>
        <v>DANE COUNTY</v>
      </c>
      <c r="C1616" s="2" t="s">
        <v>137</v>
      </c>
      <c r="D1616" s="2" t="str">
        <f>CLEAN("5889-00-75")</f>
        <v>5889-00-75</v>
      </c>
      <c r="E1616" s="3" t="str">
        <f t="shared" si="262"/>
        <v>T PRIMROSE - T SPRINGDALE (CTH G)</v>
      </c>
      <c r="F1616" s="3" t="str">
        <f>CLEAN("W BRANCH SUGAR RV BRIDGE B-13-0904")</f>
        <v>W BRANCH SUGAR RV BRIDGE B-13-0904</v>
      </c>
      <c r="G1616" s="3" t="str">
        <f>CLEAN("CONST OPS/BRIDGE REPLACEMENT")</f>
        <v>CONST OPS/BRIDGE REPLACEMENT</v>
      </c>
      <c r="H1616" s="2" t="str">
        <f t="shared" si="263"/>
        <v>CTH G</v>
      </c>
      <c r="I1616" s="2" t="str">
        <f t="shared" si="260"/>
        <v>205</v>
      </c>
    </row>
    <row r="1617" spans="1:9" x14ac:dyDescent="0.35">
      <c r="A1617" s="2" t="str">
        <f t="shared" si="261"/>
        <v>DANE</v>
      </c>
      <c r="B1617" s="2" t="str">
        <f t="shared" si="264"/>
        <v>DANE COUNTY</v>
      </c>
      <c r="C1617" s="2" t="s">
        <v>2169</v>
      </c>
      <c r="D1617" s="2" t="str">
        <f>CLEAN("5954-00-00")</f>
        <v>5954-00-00</v>
      </c>
      <c r="E1617" s="3" t="str">
        <f>CLEAN("CTH Q - STH 113")</f>
        <v>CTH Q - STH 113</v>
      </c>
      <c r="F1617" s="3" t="str">
        <f>CLEAN("ONCKEN ROAD TO STH 113")</f>
        <v>ONCKEN ROAD TO STH 113</v>
      </c>
      <c r="G1617" s="3" t="str">
        <f>CLEAN("DESIGN/PLAN CHECK REVIEW/RECONST")</f>
        <v>DESIGN/PLAN CHECK REVIEW/RECONST</v>
      </c>
      <c r="H1617" s="2" t="str">
        <f>CLEAN("CTH M")</f>
        <v>CTH M</v>
      </c>
      <c r="I1617" s="2" t="str">
        <f>CLEAN("206")</f>
        <v>206</v>
      </c>
    </row>
    <row r="1618" spans="1:9" x14ac:dyDescent="0.35">
      <c r="A1618" s="2" t="str">
        <f t="shared" si="261"/>
        <v>DANE</v>
      </c>
      <c r="B1618" s="2" t="str">
        <f t="shared" si="264"/>
        <v>DANE COUNTY</v>
      </c>
      <c r="C1618" s="2" t="s">
        <v>257</v>
      </c>
      <c r="D1618" s="2" t="str">
        <f>CLEAN("5954-00-01")</f>
        <v>5954-00-01</v>
      </c>
      <c r="E1618" s="3" t="str">
        <f>CLEAN("CTH Q - STH 113 (CTH M)")</f>
        <v>CTH Q - STH 113 (CTH M)</v>
      </c>
      <c r="F1618" s="3" t="str">
        <f>CLEAN("ONCKEN ROAD TO STH 113")</f>
        <v>ONCKEN ROAD TO STH 113</v>
      </c>
      <c r="G1618" s="3" t="str">
        <f>CLEAN("CONST OPS/RECONSTRUCTION")</f>
        <v>CONST OPS/RECONSTRUCTION</v>
      </c>
      <c r="H1618" s="2" t="str">
        <f>CLEAN("CTH M")</f>
        <v>CTH M</v>
      </c>
      <c r="I1618" s="2" t="str">
        <f>CLEAN("206")</f>
        <v>206</v>
      </c>
    </row>
    <row r="1619" spans="1:9" x14ac:dyDescent="0.35">
      <c r="A1619" s="2" t="str">
        <f t="shared" si="261"/>
        <v>DANE</v>
      </c>
      <c r="B1619" s="2" t="str">
        <f t="shared" si="264"/>
        <v>DANE COUNTY</v>
      </c>
      <c r="C1619" s="2" t="s">
        <v>1869</v>
      </c>
      <c r="D1619" s="2" t="str">
        <f>CLEAN("5986-00-03")</f>
        <v>5986-00-03</v>
      </c>
      <c r="E1619" s="3" t="str">
        <f>CLEAN("V MAZOMANIE - T MAZOMANIE (CTH Y)")</f>
        <v>V MAZOMANIE - T MAZOMANIE (CTH Y)</v>
      </c>
      <c r="F1619" s="3" t="str">
        <f>CLEAN("BLACK EARTH CREEK BRIDGE B-13-0026")</f>
        <v>BLACK EARTH CREEK BRIDGE B-13-0026</v>
      </c>
      <c r="G1619" s="3" t="str">
        <f>CLEAN("DESIGN/FULL PS&amp;E BRRPL")</f>
        <v>DESIGN/FULL PS&amp;E BRRPL</v>
      </c>
      <c r="H1619" s="2" t="str">
        <f>CLEAN("CTH Y")</f>
        <v>CTH Y</v>
      </c>
      <c r="I1619" s="2" t="str">
        <f>CLEAN("205")</f>
        <v>205</v>
      </c>
    </row>
    <row r="1620" spans="1:9" x14ac:dyDescent="0.35">
      <c r="A1620" s="2" t="str">
        <f t="shared" si="261"/>
        <v>DANE</v>
      </c>
      <c r="B1620" s="2" t="str">
        <f t="shared" si="264"/>
        <v>DANE COUNTY</v>
      </c>
      <c r="C1620" s="2" t="s">
        <v>2493</v>
      </c>
      <c r="D1620" s="2" t="str">
        <f>CLEAN("5986-00-72")</f>
        <v>5986-00-72</v>
      </c>
      <c r="E1620" s="3" t="str">
        <f>CLEAN("CTH Y MAZOMANIE E.HUDSON ST - N. ST")</f>
        <v>CTH Y MAZOMANIE E.HUDSON ST - N. ST</v>
      </c>
      <c r="F1620" s="3" t="str">
        <f>CLEAN("E. HUDSON ST TO NORTH ST(WI-18-345)")</f>
        <v>E. HUDSON ST TO NORTH ST(WI-18-345)</v>
      </c>
      <c r="G1620" s="3" t="str">
        <f>CLEAN("EMERGENCY REPAIR 8.21.2018 FLOOD")</f>
        <v>EMERGENCY REPAIR 8.21.2018 FLOOD</v>
      </c>
      <c r="H1620" s="2" t="str">
        <f>CLEAN("CTH Y")</f>
        <v>CTH Y</v>
      </c>
      <c r="I1620" s="2" t="str">
        <f t="shared" ref="I1620:I1626" si="265">CLEAN("206")</f>
        <v>206</v>
      </c>
    </row>
    <row r="1621" spans="1:9" x14ac:dyDescent="0.35">
      <c r="A1621" s="2" t="str">
        <f t="shared" si="261"/>
        <v>DANE</v>
      </c>
      <c r="B1621" s="2" t="str">
        <f t="shared" si="264"/>
        <v>DANE COUNTY</v>
      </c>
      <c r="C1621" s="2" t="s">
        <v>2198</v>
      </c>
      <c r="D1621" s="2" t="str">
        <f>CLEAN("5992-10-48")</f>
        <v>5992-10-48</v>
      </c>
      <c r="E1621" s="3" t="str">
        <f>CLEAN("C MADISON  GLACIAL DRUMLIN TRAIL")</f>
        <v>C MADISON  GLACIAL DRUMLIN TRAIL</v>
      </c>
      <c r="F1621" s="3" t="str">
        <f>CLEAN("IH 39/90 TO CTH AB")</f>
        <v>IH 39/90 TO CTH AB</v>
      </c>
      <c r="G1621" s="3" t="str">
        <f>CLEAN("DESIGN/PLAN CHECK REVIEW/RECST")</f>
        <v>DESIGN/PLAN CHECK REVIEW/RECST</v>
      </c>
      <c r="H1621" s="2" t="str">
        <f>CLEAN("OFF SYS")</f>
        <v>OFF SYS</v>
      </c>
      <c r="I1621" s="2" t="str">
        <f t="shared" si="265"/>
        <v>206</v>
      </c>
    </row>
    <row r="1622" spans="1:9" x14ac:dyDescent="0.35">
      <c r="A1622" s="2" t="str">
        <f t="shared" si="261"/>
        <v>DANE</v>
      </c>
      <c r="B1622" s="2" t="str">
        <f t="shared" si="264"/>
        <v>DANE COUNTY</v>
      </c>
      <c r="C1622" s="2" t="s">
        <v>3311</v>
      </c>
      <c r="D1622" s="2" t="str">
        <f>CLEAN("5992-10-52")</f>
        <v>5992-10-52</v>
      </c>
      <c r="E1622" s="3" t="str">
        <f>CLEAN("C MADISON  GLACIAL DRUMLIN TRAIL")</f>
        <v>C MADISON  GLACIAL DRUMLIN TRAIL</v>
      </c>
      <c r="F1622" s="3" t="str">
        <f>CLEAN("WSOR RR XING 177338B  MP 74.95")</f>
        <v>WSOR RR XING 177338B  MP 74.95</v>
      </c>
      <c r="G1622" s="3" t="str">
        <f>CLEAN("RR/SURFACE/5992-10-50/RECST")</f>
        <v>RR/SURFACE/5992-10-50/RECST</v>
      </c>
      <c r="H1622" s="2" t="str">
        <f>CLEAN("LOC STR")</f>
        <v>LOC STR</v>
      </c>
      <c r="I1622" s="2" t="str">
        <f t="shared" si="265"/>
        <v>206</v>
      </c>
    </row>
    <row r="1623" spans="1:9" x14ac:dyDescent="0.35">
      <c r="A1623" s="2" t="str">
        <f t="shared" si="261"/>
        <v>DANE</v>
      </c>
      <c r="B1623" s="2" t="str">
        <f t="shared" si="264"/>
        <v>DANE COUNTY</v>
      </c>
      <c r="C1623" s="2" t="s">
        <v>2157</v>
      </c>
      <c r="D1623" s="2" t="str">
        <f>CLEAN("5992-11-36")</f>
        <v>5992-11-36</v>
      </c>
      <c r="E1623" s="3" t="str">
        <f>CLEAN("C MADISON  CTH MM/RIMROCK ROAD")</f>
        <v>C MADISON  CTH MM/RIMROCK ROAD</v>
      </c>
      <c r="F1623" s="3" t="str">
        <f>CLEAN("USH 12/18 TO CTH MC")</f>
        <v>USH 12/18 TO CTH MC</v>
      </c>
      <c r="G1623" s="3" t="str">
        <f>CLEAN("DESIGN/PLAN CHECK REVIEW/PVRPLA")</f>
        <v>DESIGN/PLAN CHECK REVIEW/PVRPLA</v>
      </c>
      <c r="H1623" s="2" t="str">
        <f>CLEAN("CTH MM")</f>
        <v>CTH MM</v>
      </c>
      <c r="I1623" s="2" t="str">
        <f t="shared" si="265"/>
        <v>206</v>
      </c>
    </row>
    <row r="1624" spans="1:9" x14ac:dyDescent="0.35">
      <c r="A1624" s="2" t="str">
        <f t="shared" si="261"/>
        <v>DANE</v>
      </c>
      <c r="B1624" s="2" t="str">
        <f t="shared" si="264"/>
        <v>DANE COUNTY</v>
      </c>
      <c r="C1624" s="2" t="s">
        <v>200</v>
      </c>
      <c r="D1624" s="2" t="str">
        <f>CLEAN("5992-11-37")</f>
        <v>5992-11-37</v>
      </c>
      <c r="E1624" s="3" t="str">
        <f>CLEAN("C MADISON  CTH MM/RIMROCK ROAD")</f>
        <v>C MADISON  CTH MM/RIMROCK ROAD</v>
      </c>
      <c r="F1624" s="3" t="str">
        <f>CLEAN("USH 12/18 TO CTH MC")</f>
        <v>USH 12/18 TO CTH MC</v>
      </c>
      <c r="G1624" s="3" t="str">
        <f>CLEAN("CONST OPS/PAVEMENT REPLACEMENT")</f>
        <v>CONST OPS/PAVEMENT REPLACEMENT</v>
      </c>
      <c r="H1624" s="2" t="str">
        <f>CLEAN("CTH MM")</f>
        <v>CTH MM</v>
      </c>
      <c r="I1624" s="2" t="str">
        <f t="shared" si="265"/>
        <v>206</v>
      </c>
    </row>
    <row r="1625" spans="1:9" x14ac:dyDescent="0.35">
      <c r="A1625" s="2" t="str">
        <f t="shared" si="261"/>
        <v>DANE</v>
      </c>
      <c r="B1625" s="2" t="str">
        <f t="shared" si="264"/>
        <v>DANE COUNTY</v>
      </c>
      <c r="C1625" s="2" t="s">
        <v>2147</v>
      </c>
      <c r="D1625" s="2" t="str">
        <f>CLEAN("5992-11-61")</f>
        <v>5992-11-61</v>
      </c>
      <c r="E1625" s="3" t="str">
        <f>CLEAN("C FITCHBURG  CTH MM/RIMROCK ROAD")</f>
        <v>C FITCHBURG  CTH MM/RIMROCK ROAD</v>
      </c>
      <c r="F1625" s="3" t="str">
        <f>CLEAN("MCCOY ROAD TO USH 12/18")</f>
        <v>MCCOY ROAD TO USH 12/18</v>
      </c>
      <c r="G1625" s="3" t="str">
        <f>CLEAN("DESIGN/PLAN CHECK REVIEW/PVRPLA")</f>
        <v>DESIGN/PLAN CHECK REVIEW/PVRPLA</v>
      </c>
      <c r="H1625" s="2" t="str">
        <f>CLEAN("CTH MM")</f>
        <v>CTH MM</v>
      </c>
      <c r="I1625" s="2" t="str">
        <f t="shared" si="265"/>
        <v>206</v>
      </c>
    </row>
    <row r="1626" spans="1:9" x14ac:dyDescent="0.35">
      <c r="A1626" s="2" t="str">
        <f t="shared" si="261"/>
        <v>DANE</v>
      </c>
      <c r="B1626" s="2" t="str">
        <f t="shared" si="264"/>
        <v>DANE COUNTY</v>
      </c>
      <c r="C1626" s="2" t="s">
        <v>193</v>
      </c>
      <c r="D1626" s="2" t="str">
        <f>CLEAN("5992-11-62")</f>
        <v>5992-11-62</v>
      </c>
      <c r="E1626" s="3" t="str">
        <f>CLEAN("C FITCHBURG  CTH MM/RIMROCK ROAD")</f>
        <v>C FITCHBURG  CTH MM/RIMROCK ROAD</v>
      </c>
      <c r="F1626" s="3" t="str">
        <f>CLEAN("MCCOY ROAD TO USH 12/18")</f>
        <v>MCCOY ROAD TO USH 12/18</v>
      </c>
      <c r="G1626" s="3" t="str">
        <f>CLEAN("CONST OPS/PAVEMENT REPLACEMENT")</f>
        <v>CONST OPS/PAVEMENT REPLACEMENT</v>
      </c>
      <c r="H1626" s="2" t="str">
        <f>CLEAN("CTH MM")</f>
        <v>CTH MM</v>
      </c>
      <c r="I1626" s="2" t="str">
        <f t="shared" si="265"/>
        <v>206</v>
      </c>
    </row>
    <row r="1627" spans="1:9" x14ac:dyDescent="0.35">
      <c r="A1627" s="2" t="str">
        <f t="shared" si="261"/>
        <v>DANE</v>
      </c>
      <c r="B1627" s="2" t="str">
        <f t="shared" si="264"/>
        <v>DANE COUNTY</v>
      </c>
      <c r="C1627" s="2" t="s">
        <v>122</v>
      </c>
      <c r="D1627" s="2" t="str">
        <f>CLEAN("5993-01-77")</f>
        <v>5993-01-77</v>
      </c>
      <c r="E1627" s="3" t="str">
        <f>CLEAN("CITY OF MIDDLETON  CTH M")</f>
        <v>CITY OF MIDDLETON  CTH M</v>
      </c>
      <c r="F1627" s="3" t="str">
        <f>CLEAN("PHEASANT BR CREEK BRIDGE B-13-0905")</f>
        <v>PHEASANT BR CREEK BRIDGE B-13-0905</v>
      </c>
      <c r="G1627" s="3" t="str">
        <f>CLEAN("CONST OPS/BRIDGE REPLACEMENT")</f>
        <v>CONST OPS/BRIDGE REPLACEMENT</v>
      </c>
      <c r="H1627" s="2" t="str">
        <f>CLEAN("CTH M")</f>
        <v>CTH M</v>
      </c>
      <c r="I1627" s="2" t="str">
        <f>CLEAN("205")</f>
        <v>205</v>
      </c>
    </row>
    <row r="1628" spans="1:9" x14ac:dyDescent="0.35">
      <c r="A1628" s="2" t="str">
        <f t="shared" si="261"/>
        <v>DANE</v>
      </c>
      <c r="B1628" s="2" t="str">
        <f t="shared" si="264"/>
        <v>DANE COUNTY</v>
      </c>
      <c r="C1628" s="2" t="s">
        <v>1518</v>
      </c>
      <c r="D1628" s="2" t="str">
        <f>CLEAN("6208-00-07")</f>
        <v>6208-00-07</v>
      </c>
      <c r="E1628" s="3" t="str">
        <f>CLEAN("DEFOREST - EAST BRISTOL (CTH V)")</f>
        <v>DEFOREST - EAST BRISTOL (CTH V)</v>
      </c>
      <c r="F1628" s="3" t="str">
        <f>CLEAN("CTH N TO CTH VV NORTH")</f>
        <v>CTH N TO CTH VV NORTH</v>
      </c>
      <c r="G1628" s="3" t="str">
        <f>CLEAN("DESIGN - FULL PS&amp;E RECONDITIONING")</f>
        <v>DESIGN - FULL PS&amp;E RECONDITIONING</v>
      </c>
      <c r="H1628" s="2" t="str">
        <f>CLEAN("CTH V")</f>
        <v>CTH V</v>
      </c>
      <c r="I1628" s="2" t="str">
        <f>CLEAN("206")</f>
        <v>206</v>
      </c>
    </row>
    <row r="1629" spans="1:9" x14ac:dyDescent="0.35">
      <c r="A1629" s="2" t="str">
        <f t="shared" si="261"/>
        <v>DANE</v>
      </c>
      <c r="B1629" s="2" t="str">
        <f t="shared" si="264"/>
        <v>DANE COUNTY</v>
      </c>
      <c r="C1629" s="2" t="s">
        <v>2164</v>
      </c>
      <c r="D1629" s="2" t="str">
        <f>CLEAN("6218-00-03")</f>
        <v>6218-00-03</v>
      </c>
      <c r="E1629" s="3" t="str">
        <f>CLEAN("VILLAGE OF DANE - I39/90")</f>
        <v>VILLAGE OF DANE - I39/90</v>
      </c>
      <c r="F1629" s="3" t="str">
        <f>CLEAN("STH 113 TO CTH I")</f>
        <v>STH 113 TO CTH I</v>
      </c>
      <c r="G1629" s="3" t="str">
        <f>CLEAN("DESIGN/PLAN CHECK REVIEW/RCND")</f>
        <v>DESIGN/PLAN CHECK REVIEW/RCND</v>
      </c>
      <c r="H1629" s="2" t="str">
        <f>CLEAN("CTH V")</f>
        <v>CTH V</v>
      </c>
      <c r="I1629" s="2" t="str">
        <f>CLEAN("206")</f>
        <v>206</v>
      </c>
    </row>
    <row r="1630" spans="1:9" x14ac:dyDescent="0.35">
      <c r="A1630" s="2" t="str">
        <f t="shared" si="261"/>
        <v>DANE</v>
      </c>
      <c r="B1630" s="2" t="str">
        <f t="shared" si="264"/>
        <v>DANE COUNTY</v>
      </c>
      <c r="C1630" s="2" t="s">
        <v>1517</v>
      </c>
      <c r="D1630" s="2" t="str">
        <f>CLEAN("6218-00-04")</f>
        <v>6218-00-04</v>
      </c>
      <c r="E1630" s="3" t="str">
        <f>CLEAN("WINDSOR - BRISTOL")</f>
        <v>WINDSOR - BRISTOL</v>
      </c>
      <c r="F1630" s="3" t="str">
        <f>CLEAN("SNOWY OWL COURT TO CTH N")</f>
        <v>SNOWY OWL COURT TO CTH N</v>
      </c>
      <c r="G1630" s="3" t="str">
        <f>CLEAN("DESIGN - FULL PS&amp;E RECONDITION")</f>
        <v>DESIGN - FULL PS&amp;E RECONDITION</v>
      </c>
      <c r="H1630" s="2" t="str">
        <f>CLEAN("CTH V")</f>
        <v>CTH V</v>
      </c>
      <c r="I1630" s="2" t="str">
        <f>CLEAN("206")</f>
        <v>206</v>
      </c>
    </row>
    <row r="1631" spans="1:9" x14ac:dyDescent="0.35">
      <c r="A1631" s="2" t="str">
        <f t="shared" si="261"/>
        <v>DANE</v>
      </c>
      <c r="B1631" s="2" t="str">
        <f t="shared" si="264"/>
        <v>DANE COUNTY</v>
      </c>
      <c r="C1631" s="2" t="s">
        <v>223</v>
      </c>
      <c r="D1631" s="2" t="str">
        <f>CLEAN("6218-00-74")</f>
        <v>6218-00-74</v>
      </c>
      <c r="E1631" s="3" t="str">
        <f>CLEAN("WINDSOR - BRISTOL")</f>
        <v>WINDSOR - BRISTOL</v>
      </c>
      <c r="F1631" s="3" t="str">
        <f>CLEAN("SNOWY OWL COURT TO CTH N")</f>
        <v>SNOWY OWL COURT TO CTH N</v>
      </c>
      <c r="G1631" s="3" t="str">
        <f>CLEAN("CONST OPS/RECONDITION")</f>
        <v>CONST OPS/RECONDITION</v>
      </c>
      <c r="H1631" s="2" t="str">
        <f>CLEAN("CTH V")</f>
        <v>CTH V</v>
      </c>
      <c r="I1631" s="2" t="str">
        <f>CLEAN("206")</f>
        <v>206</v>
      </c>
    </row>
    <row r="1632" spans="1:9" x14ac:dyDescent="0.35">
      <c r="A1632" s="2" t="str">
        <f>CLEAN("MILWAUKEE")</f>
        <v>MILWAUKEE</v>
      </c>
      <c r="B1632" s="2" t="str">
        <f>CLEAN("DEER DISTRICT LLC")</f>
        <v>DEER DISTRICT LLC</v>
      </c>
      <c r="C1632" s="2" t="s">
        <v>3177</v>
      </c>
      <c r="D1632" s="2" t="str">
        <f>CLEAN("2126-00-70")</f>
        <v>2126-00-70</v>
      </c>
      <c r="E1632" s="3" t="str">
        <f>CLEAN("W MCKINLEY AVE")</f>
        <v>W MCKINLEY AVE</v>
      </c>
      <c r="F1632" s="3" t="str">
        <f>CLEAN("8TH STREET TO 3RD STREET")</f>
        <v>8TH STREET TO 3RD STREET</v>
      </c>
      <c r="G1632" s="3" t="str">
        <f>CLEAN("RELOC 84IN COMBINED SEWER OVERFLOW")</f>
        <v>RELOC 84IN COMBINED SEWER OVERFLOW</v>
      </c>
      <c r="H1632" s="2" t="str">
        <f>CLEAN("LOC STR")</f>
        <v>LOC STR</v>
      </c>
      <c r="I1632" s="2" t="str">
        <f>CLEAN("303")</f>
        <v>303</v>
      </c>
    </row>
    <row r="1633" spans="1:9" x14ac:dyDescent="0.35">
      <c r="A1633" s="2" t="str">
        <f>CLEAN("SAUK")</f>
        <v>SAUK</v>
      </c>
      <c r="B1633" s="2" t="str">
        <f>CLEAN("DEPT OF NATURAL RESOURCES")</f>
        <v>DEPT OF NATURAL RESOURCES</v>
      </c>
      <c r="C1633" s="2" t="s">
        <v>343</v>
      </c>
      <c r="D1633" s="2" t="str">
        <f>CLEAN("5030-01-72")</f>
        <v>5030-01-72</v>
      </c>
      <c r="E1633" s="3" t="str">
        <f>CLEAN("HILLSBORO - REEDSBURG")</f>
        <v>HILLSBORO - REEDSBURG</v>
      </c>
      <c r="F1633" s="3" t="str">
        <f>CLEAN("V WONEWOC S LIMITS TO MAIN STREET")</f>
        <v>V WONEWOC S LIMITS TO MAIN STREET</v>
      </c>
      <c r="G1633" s="3" t="str">
        <f>CLEAN("CONST/ MILL AND OVERLAY")</f>
        <v>CONST/ MILL AND OVERLAY</v>
      </c>
      <c r="H1633" s="2" t="str">
        <f>CLEAN("STH 033")</f>
        <v>STH 033</v>
      </c>
      <c r="I1633" s="2" t="str">
        <f>CLEAN("303")</f>
        <v>303</v>
      </c>
    </row>
    <row r="1634" spans="1:9" x14ac:dyDescent="0.35">
      <c r="A1634" s="2" t="str">
        <f>CLEAN("STATEWIDE")</f>
        <v>STATEWIDE</v>
      </c>
      <c r="B1634" s="2" t="str">
        <f>CLEAN("DEPT. OF COMMERCE")</f>
        <v>DEPT. OF COMMERCE</v>
      </c>
      <c r="C1634" s="2" t="s">
        <v>4</v>
      </c>
      <c r="D1634" s="2" t="str">
        <f>CLEAN("1009-03-50")</f>
        <v>1009-03-50</v>
      </c>
      <c r="E1634" s="3" t="str">
        <f>CLEAN("Monitor Oper &amp; Maint of Hazmat")</f>
        <v>Monitor Oper &amp; Maint of Hazmat</v>
      </c>
      <c r="F1634" s="3" t="str">
        <f>CLEAN("remediation systems- no staff costs")</f>
        <v>remediation systems- no staff costs</v>
      </c>
      <c r="G1634" s="3" t="str">
        <f>CLEAN("--")</f>
        <v>--</v>
      </c>
      <c r="H1634" s="2" t="str">
        <f>CLEAN("NON HWY")</f>
        <v>NON HWY</v>
      </c>
      <c r="I1634" s="2" t="str">
        <f>CLEAN("303")</f>
        <v>303</v>
      </c>
    </row>
    <row r="1635" spans="1:9" x14ac:dyDescent="0.35">
      <c r="A1635" s="2" t="str">
        <f t="shared" ref="A1635:A1656" si="266">CLEAN("DODGE")</f>
        <v>DODGE</v>
      </c>
      <c r="B1635" s="2" t="str">
        <f t="shared" ref="B1635:B1654" si="267">CLEAN("DODGE COUNTY")</f>
        <v>DODGE COUNTY</v>
      </c>
      <c r="C1635" s="2" t="s">
        <v>1731</v>
      </c>
      <c r="D1635" s="2" t="str">
        <f>CLEAN("3908-01-04")</f>
        <v>3908-01-04</v>
      </c>
      <c r="E1635" s="3" t="str">
        <f>CLEAN("CTH T - STH 60")</f>
        <v>CTH T - STH 60</v>
      </c>
      <c r="F1635" s="3" t="str">
        <f>CLEAN("REMOVE B-14-021 AT CRAWFISH R")</f>
        <v>REMOVE B-14-021 AT CRAWFISH R</v>
      </c>
      <c r="G1635" s="3" t="str">
        <f>CLEAN("DESIGN/ PS&amp;E/ BRELIM")</f>
        <v>DESIGN/ PS&amp;E/ BRELIM</v>
      </c>
      <c r="H1635" s="2" t="str">
        <f>CLEAN("CTH TT")</f>
        <v>CTH TT</v>
      </c>
      <c r="I1635" s="2" t="str">
        <f>CLEAN("206")</f>
        <v>206</v>
      </c>
    </row>
    <row r="1636" spans="1:9" x14ac:dyDescent="0.35">
      <c r="A1636" s="2" t="str">
        <f t="shared" si="266"/>
        <v>DODGE</v>
      </c>
      <c r="B1636" s="2" t="str">
        <f t="shared" si="267"/>
        <v>DODGE COUNTY</v>
      </c>
      <c r="C1636" s="2" t="s">
        <v>295</v>
      </c>
      <c r="D1636" s="2" t="str">
        <f>CLEAN("3811-00-70")</f>
        <v>3811-00-70</v>
      </c>
      <c r="E1636" s="3" t="str">
        <f>CLEAN("TOWN OF LEROY  CTH V")</f>
        <v>TOWN OF LEROY  CTH V</v>
      </c>
      <c r="F1636" s="3" t="str">
        <f>CLEAN("CTH Y TO STH 49")</f>
        <v>CTH Y TO STH 49</v>
      </c>
      <c r="G1636" s="3" t="str">
        <f>CLEAN("CONST OPS/RESURFACING")</f>
        <v>CONST OPS/RESURFACING</v>
      </c>
      <c r="H1636" s="2" t="str">
        <f>CLEAN("CTH V")</f>
        <v>CTH V</v>
      </c>
      <c r="I1636" s="2" t="str">
        <f>CLEAN("206")</f>
        <v>206</v>
      </c>
    </row>
    <row r="1637" spans="1:9" x14ac:dyDescent="0.35">
      <c r="A1637" s="2" t="str">
        <f t="shared" si="266"/>
        <v>DODGE</v>
      </c>
      <c r="B1637" s="2" t="str">
        <f t="shared" si="267"/>
        <v>DODGE COUNTY</v>
      </c>
      <c r="C1637" s="2" t="s">
        <v>2077</v>
      </c>
      <c r="D1637" s="2" t="str">
        <f>CLEAN("3898-00-02")</f>
        <v>3898-00-02</v>
      </c>
      <c r="E1637" s="3" t="str">
        <f>CLEAN("CTH T - CTH G")</f>
        <v>CTH T - CTH G</v>
      </c>
      <c r="F1637" s="3" t="str">
        <f>CLEAN("CALAMUS CREEK BRIDGE  B-14-0001")</f>
        <v>CALAMUS CREEK BRIDGE  B-14-0001</v>
      </c>
      <c r="G1637" s="3" t="str">
        <f>CLEAN("DESIGN/PLAN CHECK REVIEW/BR RECONST")</f>
        <v>DESIGN/PLAN CHECK REVIEW/BR RECONST</v>
      </c>
      <c r="H1637" s="2" t="str">
        <f>CLEAN("CTH S")</f>
        <v>CTH S</v>
      </c>
      <c r="I1637" s="2" t="str">
        <f>CLEAN("205")</f>
        <v>205</v>
      </c>
    </row>
    <row r="1638" spans="1:9" x14ac:dyDescent="0.35">
      <c r="A1638" s="2" t="str">
        <f t="shared" si="266"/>
        <v>DODGE</v>
      </c>
      <c r="B1638" s="2" t="str">
        <f t="shared" si="267"/>
        <v>DODGE COUNTY</v>
      </c>
      <c r="C1638" s="2" t="s">
        <v>2075</v>
      </c>
      <c r="D1638" s="2" t="str">
        <f>CLEAN("3898-00-03")</f>
        <v>3898-00-03</v>
      </c>
      <c r="E1638" s="3" t="str">
        <f>CLEAN("CTH T - CTH G")</f>
        <v>CTH T - CTH G</v>
      </c>
      <c r="F1638" s="3" t="str">
        <f>CLEAN("BEAVER DAM RIVER BRIDGE  B-14-0007")</f>
        <v>BEAVER DAM RIVER BRIDGE  B-14-0007</v>
      </c>
      <c r="G1638" s="3" t="str">
        <f>CLEAN("DESIGN/PLAN CHECK REVIEW/BR RECONST")</f>
        <v>DESIGN/PLAN CHECK REVIEW/BR RECONST</v>
      </c>
      <c r="H1638" s="2" t="str">
        <f>CLEAN("CTH S")</f>
        <v>CTH S</v>
      </c>
      <c r="I1638" s="2" t="str">
        <f>CLEAN("205")</f>
        <v>205</v>
      </c>
    </row>
    <row r="1639" spans="1:9" x14ac:dyDescent="0.35">
      <c r="A1639" s="2" t="str">
        <f t="shared" si="266"/>
        <v>DODGE</v>
      </c>
      <c r="B1639" s="2" t="str">
        <f t="shared" si="267"/>
        <v>DODGE COUNTY</v>
      </c>
      <c r="C1639" s="2" t="s">
        <v>2076</v>
      </c>
      <c r="D1639" s="2" t="str">
        <f>CLEAN("3907-00-00")</f>
        <v>3907-00-00</v>
      </c>
      <c r="E1639" s="3" t="str">
        <f>CLEAN("STH 16 - CTH G")</f>
        <v>STH 16 - CTH G</v>
      </c>
      <c r="F1639" s="3" t="str">
        <f>CLEAN("BEAVER DAM RIVER BRIDGE  P-14-0087")</f>
        <v>BEAVER DAM RIVER BRIDGE  P-14-0087</v>
      </c>
      <c r="G1639" s="3" t="str">
        <f>CLEAN("DESIGN/PLAN CHECK REVIEW/BR RECONST")</f>
        <v>DESIGN/PLAN CHECK REVIEW/BR RECONST</v>
      </c>
      <c r="H1639" s="2" t="str">
        <f>CLEAN("CTH J")</f>
        <v>CTH J</v>
      </c>
      <c r="I1639" s="2" t="str">
        <f>CLEAN("205")</f>
        <v>205</v>
      </c>
    </row>
    <row r="1640" spans="1:9" x14ac:dyDescent="0.35">
      <c r="A1640" s="2" t="str">
        <f t="shared" si="266"/>
        <v>DODGE</v>
      </c>
      <c r="B1640" s="2" t="str">
        <f t="shared" si="267"/>
        <v>DODGE COUNTY</v>
      </c>
      <c r="C1640" s="2" t="s">
        <v>61</v>
      </c>
      <c r="D1640" s="2" t="str">
        <f>CLEAN("3907-00-70")</f>
        <v>3907-00-70</v>
      </c>
      <c r="E1640" s="3" t="str">
        <f>CLEAN("STH 16 - CTH G")</f>
        <v>STH 16 - CTH G</v>
      </c>
      <c r="F1640" s="3" t="str">
        <f>CLEAN("BEAVER DAM RIVER BRIDGE  B-14-0222")</f>
        <v>BEAVER DAM RIVER BRIDGE  B-14-0222</v>
      </c>
      <c r="G1640" s="3" t="str">
        <f>CLEAN("CONST OPS/BRIDGE REPLACEMENT")</f>
        <v>CONST OPS/BRIDGE REPLACEMENT</v>
      </c>
      <c r="H1640" s="2" t="str">
        <f>CLEAN("CTH J")</f>
        <v>CTH J</v>
      </c>
      <c r="I1640" s="2" t="str">
        <f>CLEAN("205")</f>
        <v>205</v>
      </c>
    </row>
    <row r="1641" spans="1:9" x14ac:dyDescent="0.35">
      <c r="A1641" s="2" t="str">
        <f t="shared" si="266"/>
        <v>DODGE</v>
      </c>
      <c r="B1641" s="2" t="str">
        <f t="shared" si="267"/>
        <v>DODGE COUNTY</v>
      </c>
      <c r="C1641" s="2" t="s">
        <v>2072</v>
      </c>
      <c r="D1641" s="2" t="str">
        <f>CLEAN("3908-00-00")</f>
        <v>3908-00-00</v>
      </c>
      <c r="E1641" s="3" t="str">
        <f>CLEAN("CTH T - STH 60")</f>
        <v>CTH T - STH 60</v>
      </c>
      <c r="F1641" s="3" t="str">
        <f>CLEAN("CRAWFISH RIVER BRIDGE B-14-0021")</f>
        <v>CRAWFISH RIVER BRIDGE B-14-0021</v>
      </c>
      <c r="G1641" s="3" t="str">
        <f>CLEAN("DESIGN/PLAN CHECK REVIEW / BRRPL")</f>
        <v>DESIGN/PLAN CHECK REVIEW / BRRPL</v>
      </c>
      <c r="H1641" s="2" t="str">
        <f>CLEAN("CTH TT")</f>
        <v>CTH TT</v>
      </c>
      <c r="I1641" s="2" t="str">
        <f>CLEAN("205")</f>
        <v>205</v>
      </c>
    </row>
    <row r="1642" spans="1:9" x14ac:dyDescent="0.35">
      <c r="A1642" s="2" t="str">
        <f t="shared" si="266"/>
        <v>DODGE</v>
      </c>
      <c r="B1642" s="2" t="str">
        <f t="shared" si="267"/>
        <v>DODGE COUNTY</v>
      </c>
      <c r="C1642" s="2" t="s">
        <v>1534</v>
      </c>
      <c r="D1642" s="2" t="str">
        <f>CLEAN("3912-00-00")</f>
        <v>3912-00-00</v>
      </c>
      <c r="E1642" s="3" t="str">
        <f>CLEAN("STH 26 - BEAVER DAM")</f>
        <v>STH 26 - BEAVER DAM</v>
      </c>
      <c r="F1642" s="3" t="str">
        <f>CLEAN("CTH W INTERSECTION")</f>
        <v>CTH W INTERSECTION</v>
      </c>
      <c r="G1642" s="3" t="str">
        <f>CLEAN("DESIGN - FULL PS&amp;E RECST")</f>
        <v>DESIGN - FULL PS&amp;E RECST</v>
      </c>
      <c r="H1642" s="2" t="str">
        <f>CLEAN("CTH A")</f>
        <v>CTH A</v>
      </c>
      <c r="I1642" s="2" t="str">
        <f>CLEAN("206")</f>
        <v>206</v>
      </c>
    </row>
    <row r="1643" spans="1:9" x14ac:dyDescent="0.35">
      <c r="A1643" s="2" t="str">
        <f t="shared" si="266"/>
        <v>DODGE</v>
      </c>
      <c r="B1643" s="2" t="str">
        <f t="shared" si="267"/>
        <v>DODGE COUNTY</v>
      </c>
      <c r="C1643" s="2" t="s">
        <v>1533</v>
      </c>
      <c r="D1643" s="2" t="str">
        <f>CLEAN("3913-00-05")</f>
        <v>3913-00-05</v>
      </c>
      <c r="E1643" s="3" t="str">
        <f>CLEAN("LOWELL - BEAVER DAM")</f>
        <v>LOWELL - BEAVER DAM</v>
      </c>
      <c r="F1643" s="3" t="str">
        <f>CLEAN("CTH S INTERSECTION")</f>
        <v>CTH S INTERSECTION</v>
      </c>
      <c r="G1643" s="3" t="str">
        <f>CLEAN("DESIGN - FULL PS&amp;E RECST")</f>
        <v>DESIGN - FULL PS&amp;E RECST</v>
      </c>
      <c r="H1643" s="2" t="str">
        <f>CLEAN("CTH G")</f>
        <v>CTH G</v>
      </c>
      <c r="I1643" s="2" t="str">
        <f>CLEAN("206")</f>
        <v>206</v>
      </c>
    </row>
    <row r="1644" spans="1:9" x14ac:dyDescent="0.35">
      <c r="A1644" s="2" t="str">
        <f t="shared" si="266"/>
        <v>DODGE</v>
      </c>
      <c r="B1644" s="2" t="str">
        <f t="shared" si="267"/>
        <v>DODGE COUNTY</v>
      </c>
      <c r="C1644" s="2" t="s">
        <v>2071</v>
      </c>
      <c r="D1644" s="2" t="str">
        <f>CLEAN("3925-00-00")</f>
        <v>3925-00-00</v>
      </c>
      <c r="E1644" s="3" t="str">
        <f>CLEAN("CTH P - HARTFORD")</f>
        <v>CTH P - HARTFORD</v>
      </c>
      <c r="F1644" s="3" t="str">
        <f>CLEAN("BUTLER CREEK BRIDGE P-14-0920")</f>
        <v>BUTLER CREEK BRIDGE P-14-0920</v>
      </c>
      <c r="G1644" s="3" t="str">
        <f>CLEAN("DESIGN/PLAN CHECK REVIEW / BRRPL")</f>
        <v>DESIGN/PLAN CHECK REVIEW / BRRPL</v>
      </c>
      <c r="H1644" s="2" t="str">
        <f>CLEAN("CTH N")</f>
        <v>CTH N</v>
      </c>
      <c r="I1644" s="2" t="str">
        <f>CLEAN("205")</f>
        <v>205</v>
      </c>
    </row>
    <row r="1645" spans="1:9" x14ac:dyDescent="0.35">
      <c r="A1645" s="2" t="str">
        <f t="shared" si="266"/>
        <v>DODGE</v>
      </c>
      <c r="B1645" s="2" t="str">
        <f t="shared" si="267"/>
        <v>DODGE COUNTY</v>
      </c>
      <c r="C1645" s="2" t="s">
        <v>430</v>
      </c>
      <c r="D1645" s="2" t="str">
        <f>CLEAN("3925-00-70")</f>
        <v>3925-00-70</v>
      </c>
      <c r="E1645" s="3" t="str">
        <f>CLEAN("CTH P - HARTFORD")</f>
        <v>CTH P - HARTFORD</v>
      </c>
      <c r="F1645" s="3" t="str">
        <f>CLEAN("BUTLER CREEK BRIDGE B-14-0231")</f>
        <v>BUTLER CREEK BRIDGE B-14-0231</v>
      </c>
      <c r="G1645" s="3" t="str">
        <f>CLEAN("CONST/BRIDGE REPLACEMENT")</f>
        <v>CONST/BRIDGE REPLACEMENT</v>
      </c>
      <c r="H1645" s="2" t="str">
        <f>CLEAN("CTH N")</f>
        <v>CTH N</v>
      </c>
      <c r="I1645" s="2" t="str">
        <f>CLEAN("205")</f>
        <v>205</v>
      </c>
    </row>
    <row r="1646" spans="1:9" x14ac:dyDescent="0.35">
      <c r="A1646" s="2" t="str">
        <f t="shared" si="266"/>
        <v>DODGE</v>
      </c>
      <c r="B1646" s="2" t="str">
        <f t="shared" si="267"/>
        <v>DODGE COUNTY</v>
      </c>
      <c r="C1646" s="2" t="s">
        <v>2083</v>
      </c>
      <c r="D1646" s="2" t="str">
        <f>CLEAN("3926-00-00")</f>
        <v>3926-00-00</v>
      </c>
      <c r="E1646" s="3" t="str">
        <f>CLEAN("CTH P - CTH V")</f>
        <v>CTH P - CTH V</v>
      </c>
      <c r="F1646" s="3" t="str">
        <f>CLEAN("BUTLER CREEK BRIDGE  P-14-0107")</f>
        <v>BUTLER CREEK BRIDGE  P-14-0107</v>
      </c>
      <c r="G1646" s="3" t="str">
        <f>CLEAN("DESIGN/PLAN CHECK REVIEW/BR REPLACE")</f>
        <v>DESIGN/PLAN CHECK REVIEW/BR REPLACE</v>
      </c>
      <c r="H1646" s="2" t="str">
        <f>CLEAN("CTH NP")</f>
        <v>CTH NP</v>
      </c>
      <c r="I1646" s="2" t="str">
        <f>CLEAN("205")</f>
        <v>205</v>
      </c>
    </row>
    <row r="1647" spans="1:9" x14ac:dyDescent="0.35">
      <c r="A1647" s="2" t="str">
        <f t="shared" si="266"/>
        <v>DODGE</v>
      </c>
      <c r="B1647" s="2" t="str">
        <f t="shared" si="267"/>
        <v>DODGE COUNTY</v>
      </c>
      <c r="C1647" s="2" t="s">
        <v>429</v>
      </c>
      <c r="D1647" s="2" t="str">
        <f>CLEAN("3926-00-70")</f>
        <v>3926-00-70</v>
      </c>
      <c r="E1647" s="3" t="str">
        <f>CLEAN("CTH P - CTH V")</f>
        <v>CTH P - CTH V</v>
      </c>
      <c r="F1647" s="3" t="str">
        <f>CLEAN("BUTLER CREEK BRIDGE  B-14-0229")</f>
        <v>BUTLER CREEK BRIDGE  B-14-0229</v>
      </c>
      <c r="G1647" s="3" t="str">
        <f>CLEAN("CONST/BRIDGE REPLACEMENT")</f>
        <v>CONST/BRIDGE REPLACEMENT</v>
      </c>
      <c r="H1647" s="2" t="str">
        <f>CLEAN("CTH NP")</f>
        <v>CTH NP</v>
      </c>
      <c r="I1647" s="2" t="str">
        <f>CLEAN("205")</f>
        <v>205</v>
      </c>
    </row>
    <row r="1648" spans="1:9" x14ac:dyDescent="0.35">
      <c r="A1648" s="2" t="str">
        <f t="shared" si="266"/>
        <v>DODGE</v>
      </c>
      <c r="B1648" s="2" t="str">
        <f t="shared" si="267"/>
        <v>DODGE COUNTY</v>
      </c>
      <c r="C1648" s="2" t="s">
        <v>2110</v>
      </c>
      <c r="D1648" s="2" t="str">
        <f>CLEAN("3934-00-05")</f>
        <v>3934-00-05</v>
      </c>
      <c r="E1648" s="3" t="str">
        <f>CLEAN("CTH R - ASHIPPUN")</f>
        <v>CTH R - ASHIPPUN</v>
      </c>
      <c r="F1648" s="3" t="str">
        <f>CLEAN("ROCK RIVER BRIDGE B-14-0010")</f>
        <v>ROCK RIVER BRIDGE B-14-0010</v>
      </c>
      <c r="G1648" s="3" t="str">
        <f>CLEAN("DESIGN/PLAN CHECK REVIEW/BRRPL")</f>
        <v>DESIGN/PLAN CHECK REVIEW/BRRPL</v>
      </c>
      <c r="H1648" s="2" t="str">
        <f>CLEAN("CTH O")</f>
        <v>CTH O</v>
      </c>
      <c r="I1648" s="2" t="str">
        <f>CLEAN("205")</f>
        <v>205</v>
      </c>
    </row>
    <row r="1649" spans="1:9" x14ac:dyDescent="0.35">
      <c r="A1649" s="2" t="str">
        <f t="shared" si="266"/>
        <v>DODGE</v>
      </c>
      <c r="B1649" s="2" t="str">
        <f t="shared" si="267"/>
        <v>DODGE COUNTY</v>
      </c>
      <c r="C1649" s="2" t="s">
        <v>2153</v>
      </c>
      <c r="D1649" s="2" t="str">
        <f>CLEAN("3939-00-00")</f>
        <v>3939-00-00</v>
      </c>
      <c r="E1649" s="3" t="str">
        <f>CLEAN("KEKOSKEE - LEROY (CTH V)")</f>
        <v>KEKOSKEE - LEROY (CTH V)</v>
      </c>
      <c r="F1649" s="3" t="str">
        <f>CLEAN("STH 28 TO STH 49")</f>
        <v>STH 28 TO STH 49</v>
      </c>
      <c r="G1649" s="3" t="str">
        <f>CLEAN("DESIGN/PLAN CHECK REVIEW/PVRPLA")</f>
        <v>DESIGN/PLAN CHECK REVIEW/PVRPLA</v>
      </c>
      <c r="H1649" s="2" t="str">
        <f>CLEAN("CTH V")</f>
        <v>CTH V</v>
      </c>
      <c r="I1649" s="2" t="str">
        <f t="shared" ref="I1649:I1654" si="268">CLEAN("206")</f>
        <v>206</v>
      </c>
    </row>
    <row r="1650" spans="1:9" x14ac:dyDescent="0.35">
      <c r="A1650" s="2" t="str">
        <f t="shared" si="266"/>
        <v>DODGE</v>
      </c>
      <c r="B1650" s="2" t="str">
        <f t="shared" si="267"/>
        <v>DODGE COUNTY</v>
      </c>
      <c r="C1650" s="2" t="s">
        <v>1115</v>
      </c>
      <c r="D1650" s="2" t="str">
        <f>CLEAN("3939-00-70")</f>
        <v>3939-00-70</v>
      </c>
      <c r="E1650" s="3" t="str">
        <f>CLEAN("KEKOSKEE - LEROY (CTH V)")</f>
        <v>KEKOSKEE - LEROY (CTH V)</v>
      </c>
      <c r="F1650" s="3" t="str">
        <f>CLEAN("STH 28 TO CTH Y")</f>
        <v>STH 28 TO CTH Y</v>
      </c>
      <c r="G1650" s="3" t="str">
        <f>CLEAN("CONSTR OPS/RESURFACING PAVEMENT")</f>
        <v>CONSTR OPS/RESURFACING PAVEMENT</v>
      </c>
      <c r="H1650" s="2" t="str">
        <f>CLEAN("CTH V")</f>
        <v>CTH V</v>
      </c>
      <c r="I1650" s="2" t="str">
        <f t="shared" si="268"/>
        <v>206</v>
      </c>
    </row>
    <row r="1651" spans="1:9" x14ac:dyDescent="0.35">
      <c r="A1651" s="2" t="str">
        <f t="shared" si="266"/>
        <v>DODGE</v>
      </c>
      <c r="B1651" s="2" t="str">
        <f t="shared" si="267"/>
        <v>DODGE COUNTY</v>
      </c>
      <c r="C1651" s="2" t="s">
        <v>2156</v>
      </c>
      <c r="D1651" s="2" t="str">
        <f>CLEAN("6316-00-00")</f>
        <v>6316-00-00</v>
      </c>
      <c r="E1651" s="3" t="str">
        <f>CLEAN("T FOX LAKE - T TRENTON (CTH A)")</f>
        <v>T FOX LAKE - T TRENTON (CTH A)</v>
      </c>
      <c r="F1651" s="3" t="str">
        <f>CLEAN("STH 68 TO USH 151")</f>
        <v>STH 68 TO USH 151</v>
      </c>
      <c r="G1651" s="3" t="str">
        <f>CLEAN("DESIGN/PLAN CHECK REVIEW/PVRPLA")</f>
        <v>DESIGN/PLAN CHECK REVIEW/PVRPLA</v>
      </c>
      <c r="H1651" s="2" t="str">
        <f>CLEAN("CTH A")</f>
        <v>CTH A</v>
      </c>
      <c r="I1651" s="2" t="str">
        <f t="shared" si="268"/>
        <v>206</v>
      </c>
    </row>
    <row r="1652" spans="1:9" x14ac:dyDescent="0.35">
      <c r="A1652" s="2" t="str">
        <f t="shared" si="266"/>
        <v>DODGE</v>
      </c>
      <c r="B1652" s="2" t="str">
        <f t="shared" si="267"/>
        <v>DODGE COUNTY</v>
      </c>
      <c r="C1652" s="2" t="s">
        <v>219</v>
      </c>
      <c r="D1652" s="2" t="str">
        <f>CLEAN("6316-00-70")</f>
        <v>6316-00-70</v>
      </c>
      <c r="E1652" s="3" t="str">
        <f>CLEAN("T FOX LAKE - T TRENTON (CTH A)")</f>
        <v>T FOX LAKE - T TRENTON (CTH A)</v>
      </c>
      <c r="F1652" s="3" t="str">
        <f>CLEAN("STH 68 TO USH 151")</f>
        <v>STH 68 TO USH 151</v>
      </c>
      <c r="G1652" s="3" t="str">
        <f>CLEAN("CONST OPS/PVRPLA")</f>
        <v>CONST OPS/PVRPLA</v>
      </c>
      <c r="H1652" s="2" t="str">
        <f>CLEAN("CTH A")</f>
        <v>CTH A</v>
      </c>
      <c r="I1652" s="2" t="str">
        <f t="shared" si="268"/>
        <v>206</v>
      </c>
    </row>
    <row r="1653" spans="1:9" x14ac:dyDescent="0.35">
      <c r="A1653" s="2" t="str">
        <f t="shared" si="266"/>
        <v>DODGE</v>
      </c>
      <c r="B1653" s="2" t="str">
        <f t="shared" si="267"/>
        <v>DODGE COUNTY</v>
      </c>
      <c r="C1653" s="2" t="s">
        <v>2158</v>
      </c>
      <c r="D1653" s="2" t="str">
        <f>CLEAN("6338-00-02")</f>
        <v>6338-00-02</v>
      </c>
      <c r="E1653" s="3" t="str">
        <f>CLEAN("USH 151 - CTH MM (CTH M)")</f>
        <v>USH 151 - CTH MM (CTH M)</v>
      </c>
      <c r="F1653" s="3" t="str">
        <f>CLEAN("USH 151 TO S MADISON ST (CTH MM)")</f>
        <v>USH 151 TO S MADISON ST (CTH MM)</v>
      </c>
      <c r="G1653" s="3" t="str">
        <f>CLEAN("DESIGN/PLAN CHECK REVIEW/PVRPLA")</f>
        <v>DESIGN/PLAN CHECK REVIEW/PVRPLA</v>
      </c>
      <c r="H1653" s="2" t="str">
        <f>CLEAN("CTH M")</f>
        <v>CTH M</v>
      </c>
      <c r="I1653" s="2" t="str">
        <f t="shared" si="268"/>
        <v>206</v>
      </c>
    </row>
    <row r="1654" spans="1:9" x14ac:dyDescent="0.35">
      <c r="A1654" s="2" t="str">
        <f t="shared" si="266"/>
        <v>DODGE</v>
      </c>
      <c r="B1654" s="2" t="str">
        <f t="shared" si="267"/>
        <v>DODGE COUNTY</v>
      </c>
      <c r="C1654" s="2" t="s">
        <v>201</v>
      </c>
      <c r="D1654" s="2" t="str">
        <f>CLEAN("6338-00-72")</f>
        <v>6338-00-72</v>
      </c>
      <c r="E1654" s="3" t="str">
        <f>CLEAN("USH 151 - CTH MM (CTH M)")</f>
        <v>USH 151 - CTH MM (CTH M)</v>
      </c>
      <c r="F1654" s="3" t="str">
        <f>CLEAN("USH 151 TO S MADISON ST (CTH MM)")</f>
        <v>USH 151 TO S MADISON ST (CTH MM)</v>
      </c>
      <c r="G1654" s="3" t="str">
        <f>CLEAN("CONST OPS/PAVEMENT REPLACEMENT")</f>
        <v>CONST OPS/PAVEMENT REPLACEMENT</v>
      </c>
      <c r="H1654" s="2" t="str">
        <f>CLEAN("CTH M")</f>
        <v>CTH M</v>
      </c>
      <c r="I1654" s="2" t="str">
        <f t="shared" si="268"/>
        <v>206</v>
      </c>
    </row>
    <row r="1655" spans="1:9" x14ac:dyDescent="0.35">
      <c r="A1655" s="2" t="str">
        <f t="shared" si="266"/>
        <v>DODGE</v>
      </c>
      <c r="B1655" s="2" t="str">
        <f>CLEAN("Dodge County Parks Dept")</f>
        <v>Dodge County Parks Dept</v>
      </c>
      <c r="C1655" s="2" t="s">
        <v>1498</v>
      </c>
      <c r="D1655" s="2" t="str">
        <f>CLEAN("1411-00-01")</f>
        <v>1411-00-01</v>
      </c>
      <c r="E1655" s="3" t="str">
        <f>CLEAN("STH 33 - GOLD STAR MEMORIAL TRAIL")</f>
        <v>STH 33 - GOLD STAR MEMORIAL TRAIL</v>
      </c>
      <c r="F1655" s="3" t="str">
        <f>CLEAN("WILD GOOSE ST TRAIL TO CITY HORICON")</f>
        <v>WILD GOOSE ST TRAIL TO CITY HORICON</v>
      </c>
      <c r="G1655" s="3" t="str">
        <f>CLEAN("DESIGN - FULL PS&amp;E MULTI-USE PATH")</f>
        <v>DESIGN - FULL PS&amp;E MULTI-USE PATH</v>
      </c>
      <c r="H1655" s="2" t="str">
        <f>CLEAN("NON HWY")</f>
        <v>NON HWY</v>
      </c>
      <c r="I1655" s="2" t="str">
        <f>CLEAN("290")</f>
        <v>290</v>
      </c>
    </row>
    <row r="1656" spans="1:9" x14ac:dyDescent="0.35">
      <c r="A1656" s="2" t="str">
        <f t="shared" si="266"/>
        <v>DODGE</v>
      </c>
      <c r="B1656" s="2" t="str">
        <f>CLEAN("Dodge County Parks Dept")</f>
        <v>Dodge County Parks Dept</v>
      </c>
      <c r="C1656" s="2" t="s">
        <v>3043</v>
      </c>
      <c r="D1656" s="2" t="str">
        <f>CLEAN("1411-00-71")</f>
        <v>1411-00-71</v>
      </c>
      <c r="E1656" s="3" t="str">
        <f>CLEAN("STH 33 - GOLD STAR MEMORIAL TRAIL")</f>
        <v>STH 33 - GOLD STAR MEMORIAL TRAIL</v>
      </c>
      <c r="F1656" s="3" t="str">
        <f>CLEAN("WILD GOOSE ST TRAIL TO CITY HORICON")</f>
        <v>WILD GOOSE ST TRAIL TO CITY HORICON</v>
      </c>
      <c r="G1656" s="3" t="str">
        <f>CLEAN("PEDESTRIAN/BICYCLE MULTI-USE TRAIL")</f>
        <v>PEDESTRIAN/BICYCLE MULTI-USE TRAIL</v>
      </c>
      <c r="H1656" s="2" t="str">
        <f>CLEAN("NON HWY")</f>
        <v>NON HWY</v>
      </c>
      <c r="I1656" s="2" t="str">
        <f>CLEAN("290")</f>
        <v>290</v>
      </c>
    </row>
    <row r="1657" spans="1:9" x14ac:dyDescent="0.35">
      <c r="A1657" s="2" t="str">
        <f t="shared" ref="A1657:A1667" si="269">CLEAN("DOUGLAS")</f>
        <v>DOUGLAS</v>
      </c>
      <c r="B1657" s="2" t="str">
        <f t="shared" ref="B1657:B1667" si="270">CLEAN("DOUGLAS COUNTY")</f>
        <v>DOUGLAS COUNTY</v>
      </c>
      <c r="C1657" s="2" t="s">
        <v>1651</v>
      </c>
      <c r="D1657" s="2" t="str">
        <f>CLEAN("8383-01-01")</f>
        <v>8383-01-01</v>
      </c>
      <c r="E1657" s="3" t="str">
        <f>CLEAN("USH 2 - STH 13")</f>
        <v>USH 2 - STH 13</v>
      </c>
      <c r="F1657" s="3" t="str">
        <f>CLEAN("KOHO RD TO CTH FF")</f>
        <v>KOHO RD TO CTH FF</v>
      </c>
      <c r="G1657" s="3" t="str">
        <f>CLEAN("DESIGN - FULL PS&amp;E/RECONSTRUCTION")</f>
        <v>DESIGN - FULL PS&amp;E/RECONSTRUCTION</v>
      </c>
      <c r="H1657" s="2" t="str">
        <f>CLEAN("CTH H")</f>
        <v>CTH H</v>
      </c>
      <c r="I1657" s="2" t="str">
        <f>CLEAN("206")</f>
        <v>206</v>
      </c>
    </row>
    <row r="1658" spans="1:9" x14ac:dyDescent="0.35">
      <c r="A1658" s="2" t="str">
        <f t="shared" si="269"/>
        <v>DOUGLAS</v>
      </c>
      <c r="B1658" s="2" t="str">
        <f t="shared" si="270"/>
        <v>DOUGLAS COUNTY</v>
      </c>
      <c r="C1658" s="2" t="s">
        <v>1648</v>
      </c>
      <c r="D1658" s="2" t="str">
        <f>CLEAN("8383-01-02")</f>
        <v>8383-01-02</v>
      </c>
      <c r="E1658" s="3" t="str">
        <f>CLEAN("USH 2 - STH 13")</f>
        <v>USH 2 - STH 13</v>
      </c>
      <c r="F1658" s="3" t="str">
        <f>CLEAN("CTH FF TO STH 13")</f>
        <v>CTH FF TO STH 13</v>
      </c>
      <c r="G1658" s="3" t="str">
        <f>CLEAN("DESIGN - FULL PS&amp;E/RECONSTRUCTION")</f>
        <v>DESIGN - FULL PS&amp;E/RECONSTRUCTION</v>
      </c>
      <c r="H1658" s="2" t="str">
        <f>CLEAN("CTH H")</f>
        <v>CTH H</v>
      </c>
      <c r="I1658" s="2" t="str">
        <f>CLEAN("206")</f>
        <v>206</v>
      </c>
    </row>
    <row r="1659" spans="1:9" x14ac:dyDescent="0.35">
      <c r="A1659" s="2" t="str">
        <f t="shared" si="269"/>
        <v>DOUGLAS</v>
      </c>
      <c r="B1659" s="2" t="str">
        <f t="shared" si="270"/>
        <v>DOUGLAS COUNTY</v>
      </c>
      <c r="C1659" s="2" t="s">
        <v>1657</v>
      </c>
      <c r="D1659" s="2" t="str">
        <f>CLEAN("8383-01-00")</f>
        <v>8383-01-00</v>
      </c>
      <c r="E1659" s="3" t="str">
        <f>CLEAN("USH 2 - STH 13")</f>
        <v>USH 2 - STH 13</v>
      </c>
      <c r="F1659" s="3" t="str">
        <f>CLEAN("USH 2 TO KOHO RD")</f>
        <v>USH 2 TO KOHO RD</v>
      </c>
      <c r="G1659" s="3" t="str">
        <f>CLEAN("DESIGN - FULL PS&amp;E/RECONSTRUCTION")</f>
        <v>DESIGN - FULL PS&amp;E/RECONSTRUCTION</v>
      </c>
      <c r="H1659" s="2" t="str">
        <f>CLEAN("CTH H")</f>
        <v>CTH H</v>
      </c>
      <c r="I1659" s="2" t="str">
        <f>CLEAN("206")</f>
        <v>206</v>
      </c>
    </row>
    <row r="1660" spans="1:9" x14ac:dyDescent="0.35">
      <c r="A1660" s="2" t="str">
        <f t="shared" si="269"/>
        <v>DOUGLAS</v>
      </c>
      <c r="B1660" s="2" t="str">
        <f t="shared" si="270"/>
        <v>DOUGLAS COUNTY</v>
      </c>
      <c r="C1660" s="2" t="s">
        <v>1604</v>
      </c>
      <c r="D1660" s="2" t="str">
        <f>CLEAN("8747-00-01")</f>
        <v>8747-00-01</v>
      </c>
      <c r="E1660" s="3" t="str">
        <f>CLEAN("LAKE NEBAGAMON - WINNEBOUJOU")</f>
        <v>LAKE NEBAGAMON - WINNEBOUJOU</v>
      </c>
      <c r="F1660" s="3" t="str">
        <f>CLEAN("NEBAGAMON CREEK BRIDGE P-16-0700")</f>
        <v>NEBAGAMON CREEK BRIDGE P-16-0700</v>
      </c>
      <c r="G1660" s="3" t="str">
        <f>CLEAN("DESIGN - FULL PS&amp;E/BRRPL")</f>
        <v>DESIGN - FULL PS&amp;E/BRRPL</v>
      </c>
      <c r="H1660" s="2" t="str">
        <f>CLEAN("CTH B")</f>
        <v>CTH B</v>
      </c>
      <c r="I1660" s="2" t="str">
        <f>CLEAN("205")</f>
        <v>205</v>
      </c>
    </row>
    <row r="1661" spans="1:9" x14ac:dyDescent="0.35">
      <c r="A1661" s="2" t="str">
        <f t="shared" si="269"/>
        <v>DOUGLAS</v>
      </c>
      <c r="B1661" s="2" t="str">
        <f t="shared" si="270"/>
        <v>DOUGLAS COUNTY</v>
      </c>
      <c r="C1661" s="2" t="s">
        <v>1258</v>
      </c>
      <c r="D1661" s="2" t="str">
        <f>CLEAN("8747-00-71")</f>
        <v>8747-00-71</v>
      </c>
      <c r="E1661" s="3" t="str">
        <f>CLEAN("LAKE NEBAGAMON - WINNEBOUJOU")</f>
        <v>LAKE NEBAGAMON - WINNEBOUJOU</v>
      </c>
      <c r="F1661" s="3" t="str">
        <f>CLEAN("NEBAGAMON CREEK BRIDGE B-16-0159")</f>
        <v>NEBAGAMON CREEK BRIDGE B-16-0159</v>
      </c>
      <c r="G1661" s="3" t="str">
        <f>CLEAN("CONSTRUCTION/BRRPL")</f>
        <v>CONSTRUCTION/BRRPL</v>
      </c>
      <c r="H1661" s="2" t="str">
        <f>CLEAN("CTH B")</f>
        <v>CTH B</v>
      </c>
      <c r="I1661" s="2" t="str">
        <f>CLEAN("205")</f>
        <v>205</v>
      </c>
    </row>
    <row r="1662" spans="1:9" x14ac:dyDescent="0.35">
      <c r="A1662" s="2" t="str">
        <f t="shared" si="269"/>
        <v>DOUGLAS</v>
      </c>
      <c r="B1662" s="2" t="str">
        <f t="shared" si="270"/>
        <v>DOUGLAS COUNTY</v>
      </c>
      <c r="C1662" s="2" t="s">
        <v>1655</v>
      </c>
      <c r="D1662" s="2" t="str">
        <f>CLEAN("8758-00-05")</f>
        <v>8758-00-05</v>
      </c>
      <c r="E1662" s="3" t="str">
        <f>CLEAN("MN STATE LINE - STH 35")</f>
        <v>MN STATE LINE - STH 35</v>
      </c>
      <c r="F1662" s="3" t="str">
        <f>CLEAN("S BARNES RD TO IRONDALE RD")</f>
        <v>S BARNES RD TO IRONDALE RD</v>
      </c>
      <c r="G1662" s="3" t="str">
        <f>CLEAN("DESIGN - FULL PS&amp;E/RECONSTRUCTION")</f>
        <v>DESIGN - FULL PS&amp;E/RECONSTRUCTION</v>
      </c>
      <c r="H1662" s="2" t="str">
        <f>CLEAN("CTH C")</f>
        <v>CTH C</v>
      </c>
      <c r="I1662" s="2" t="str">
        <f>CLEAN("206")</f>
        <v>206</v>
      </c>
    </row>
    <row r="1663" spans="1:9" x14ac:dyDescent="0.35">
      <c r="A1663" s="2" t="str">
        <f t="shared" si="269"/>
        <v>DOUGLAS</v>
      </c>
      <c r="B1663" s="2" t="str">
        <f t="shared" si="270"/>
        <v>DOUGLAS COUNTY</v>
      </c>
      <c r="C1663" s="2" t="s">
        <v>1650</v>
      </c>
      <c r="D1663" s="2" t="str">
        <f>CLEAN("8758-00-06")</f>
        <v>8758-00-06</v>
      </c>
      <c r="E1663" s="3" t="str">
        <f>CLEAN("MN STATE LINE - STH 35")</f>
        <v>MN STATE LINE - STH 35</v>
      </c>
      <c r="F1663" s="3" t="str">
        <f>CLEAN("IRONDALE RD TO STH 35")</f>
        <v>IRONDALE RD TO STH 35</v>
      </c>
      <c r="G1663" s="3" t="str">
        <f>CLEAN("DESIGN - FULL PS&amp;E/RECONSTRUCTION")</f>
        <v>DESIGN - FULL PS&amp;E/RECONSTRUCTION</v>
      </c>
      <c r="H1663" s="2" t="str">
        <f>CLEAN("CTH C")</f>
        <v>CTH C</v>
      </c>
      <c r="I1663" s="2" t="str">
        <f>CLEAN("206")</f>
        <v>206</v>
      </c>
    </row>
    <row r="1664" spans="1:9" x14ac:dyDescent="0.35">
      <c r="A1664" s="2" t="str">
        <f t="shared" si="269"/>
        <v>DOUGLAS</v>
      </c>
      <c r="B1664" s="2" t="str">
        <f t="shared" si="270"/>
        <v>DOUGLAS COUNTY</v>
      </c>
      <c r="C1664" s="2" t="s">
        <v>3098</v>
      </c>
      <c r="D1664" s="2" t="str">
        <f>CLEAN("8758-00-50")</f>
        <v>8758-00-50</v>
      </c>
      <c r="E1664" s="3" t="str">
        <f>CLEAN("MN STATE LINE - STH 35")</f>
        <v>MN STATE LINE - STH 35</v>
      </c>
      <c r="F1664" s="3" t="str">
        <f>CLEAN("BNSF RR XING 067768H")</f>
        <v>BNSF RR XING 067768H</v>
      </c>
      <c r="G1664" s="3" t="str">
        <f>CLEAN("R/R OPS - SIGNAL REPLACEMENT")</f>
        <v>R/R OPS - SIGNAL REPLACEMENT</v>
      </c>
      <c r="H1664" s="2" t="str">
        <f>CLEAN("CTH C")</f>
        <v>CTH C</v>
      </c>
      <c r="I1664" s="2" t="str">
        <f>CLEAN("206")</f>
        <v>206</v>
      </c>
    </row>
    <row r="1665" spans="1:9" x14ac:dyDescent="0.35">
      <c r="A1665" s="2" t="str">
        <f t="shared" si="269"/>
        <v>DOUGLAS</v>
      </c>
      <c r="B1665" s="2" t="str">
        <f t="shared" si="270"/>
        <v>DOUGLAS COUNTY</v>
      </c>
      <c r="C1665" s="2" t="s">
        <v>3097</v>
      </c>
      <c r="D1665" s="2" t="str">
        <f>CLEAN("8758-00-51")</f>
        <v>8758-00-51</v>
      </c>
      <c r="E1665" s="3" t="str">
        <f>CLEAN("MN STATE LINE - STH 35")</f>
        <v>MN STATE LINE - STH 35</v>
      </c>
      <c r="F1665" s="3" t="str">
        <f>CLEAN("BNSF RR XING 067768H")</f>
        <v>BNSF RR XING 067768H</v>
      </c>
      <c r="G1665" s="3" t="str">
        <f>CLEAN("R/R OPS - REPLACE CROSSING SURFACE")</f>
        <v>R/R OPS - REPLACE CROSSING SURFACE</v>
      </c>
      <c r="H1665" s="2" t="str">
        <f>CLEAN("CTH C")</f>
        <v>CTH C</v>
      </c>
      <c r="I1665" s="2" t="str">
        <f>CLEAN("206")</f>
        <v>206</v>
      </c>
    </row>
    <row r="1666" spans="1:9" x14ac:dyDescent="0.35">
      <c r="A1666" s="2" t="str">
        <f t="shared" si="269"/>
        <v>DOUGLAS</v>
      </c>
      <c r="B1666" s="2" t="str">
        <f t="shared" si="270"/>
        <v>DOUGLAS COUNTY</v>
      </c>
      <c r="C1666" s="2" t="s">
        <v>1322</v>
      </c>
      <c r="D1666" s="2" t="str">
        <f>CLEAN("8758-00-72")</f>
        <v>8758-00-72</v>
      </c>
      <c r="E1666" s="3" t="str">
        <f>CLEAN("MN STATE LINE - STH 35")</f>
        <v>MN STATE LINE - STH 35</v>
      </c>
      <c r="F1666" s="3" t="str">
        <f>CLEAN("MN STATE LINE TO BARNES ROAD")</f>
        <v>MN STATE LINE TO BARNES ROAD</v>
      </c>
      <c r="G1666" s="3" t="str">
        <f>CLEAN("CONSTRUCTION/RECONSTRUCT")</f>
        <v>CONSTRUCTION/RECONSTRUCT</v>
      </c>
      <c r="H1666" s="2" t="str">
        <f>CLEAN("CTH C")</f>
        <v>CTH C</v>
      </c>
      <c r="I1666" s="2" t="str">
        <f>CLEAN("206")</f>
        <v>206</v>
      </c>
    </row>
    <row r="1667" spans="1:9" x14ac:dyDescent="0.35">
      <c r="A1667" s="2" t="str">
        <f t="shared" si="269"/>
        <v>DOUGLAS</v>
      </c>
      <c r="B1667" s="2" t="str">
        <f t="shared" si="270"/>
        <v>DOUGLAS COUNTY</v>
      </c>
      <c r="C1667" s="2" t="s">
        <v>1351</v>
      </c>
      <c r="D1667" s="2" t="str">
        <f>CLEAN("8760-00-71")</f>
        <v>8760-00-71</v>
      </c>
      <c r="E1667" s="3" t="str">
        <f>CLEAN("OLIVER - SUPERIOR")</f>
        <v>OLIVER - SUPERIOR</v>
      </c>
      <c r="F1667" s="3" t="str">
        <f>CLEAN("MN/WI STATE LINE TO STH 35")</f>
        <v>MN/WI STATE LINE TO STH 35</v>
      </c>
      <c r="G1667" s="3" t="str">
        <f>CLEAN("CONSTRUCTION/RESURFACE")</f>
        <v>CONSTRUCTION/RESURFACE</v>
      </c>
      <c r="H1667" s="2" t="str">
        <f>CLEAN("STH 105")</f>
        <v>STH 105</v>
      </c>
      <c r="I1667" s="2" t="str">
        <f>CLEAN("303")</f>
        <v>303</v>
      </c>
    </row>
    <row r="1668" spans="1:9" x14ac:dyDescent="0.35">
      <c r="A1668" s="2" t="str">
        <f t="shared" ref="A1668:A1700" si="271">CLEAN("DUNN")</f>
        <v>DUNN</v>
      </c>
      <c r="B1668" s="2" t="str">
        <f t="shared" ref="B1668:B1700" si="272">CLEAN("DUNN COUNTY")</f>
        <v>DUNN COUNTY</v>
      </c>
      <c r="C1668" s="2" t="s">
        <v>1803</v>
      </c>
      <c r="D1668" s="2" t="str">
        <f>CLEAN("7879-03-04")</f>
        <v>7879-03-04</v>
      </c>
      <c r="E1668" s="3" t="str">
        <f>CLEAN("DOWNSVILLE - EAST COUNTY LINE")</f>
        <v>DOWNSVILLE - EAST COUNTY LINE</v>
      </c>
      <c r="F1668" s="3" t="str">
        <f>CLEAN("MUDDY CREEK BRIDGE P-17-0061")</f>
        <v>MUDDY CREEK BRIDGE P-17-0061</v>
      </c>
      <c r="G1668" s="3" t="str">
        <f>CLEAN("DESIGN/BRIDGE REPLACEMENT")</f>
        <v>DESIGN/BRIDGE REPLACEMENT</v>
      </c>
      <c r="H1668" s="2" t="str">
        <f>CLEAN("CTH C")</f>
        <v>CTH C</v>
      </c>
      <c r="I1668" s="2" t="str">
        <f>CLEAN("205")</f>
        <v>205</v>
      </c>
    </row>
    <row r="1669" spans="1:9" x14ac:dyDescent="0.35">
      <c r="A1669" s="2" t="str">
        <f t="shared" si="271"/>
        <v>DUNN</v>
      </c>
      <c r="B1669" s="2" t="str">
        <f t="shared" si="272"/>
        <v>DUNN COUNTY</v>
      </c>
      <c r="C1669" s="2" t="s">
        <v>2244</v>
      </c>
      <c r="D1669" s="2" t="str">
        <f>CLEAN("7881-05-03")</f>
        <v>7881-05-03</v>
      </c>
      <c r="E1669" s="3" t="str">
        <f>CLEAN("SCL - STH 25")</f>
        <v>SCL - STH 25</v>
      </c>
      <c r="F1669" s="3" t="str">
        <f>CLEAN("CTH K TO 420TH STREET")</f>
        <v>CTH K TO 420TH STREET</v>
      </c>
      <c r="G1669" s="3" t="str">
        <f>CLEAN("DESIGN/RECONDITION")</f>
        <v>DESIGN/RECONDITION</v>
      </c>
      <c r="H1669" s="2" t="str">
        <f>CLEAN("CTH D")</f>
        <v>CTH D</v>
      </c>
      <c r="I1669" s="2" t="str">
        <f>CLEAN("206")</f>
        <v>206</v>
      </c>
    </row>
    <row r="1670" spans="1:9" x14ac:dyDescent="0.35">
      <c r="A1670" s="2" t="str">
        <f t="shared" si="271"/>
        <v>DUNN</v>
      </c>
      <c r="B1670" s="2" t="str">
        <f t="shared" si="272"/>
        <v>DUNN COUNTY</v>
      </c>
      <c r="C1670" s="2" t="s">
        <v>1562</v>
      </c>
      <c r="D1670" s="2" t="str">
        <f>CLEAN("7881-05-04")</f>
        <v>7881-05-04</v>
      </c>
      <c r="E1670" s="3" t="str">
        <f>CLEAN("WESTON - MENOMONIE")</f>
        <v>WESTON - MENOMONIE</v>
      </c>
      <c r="F1670" s="3" t="str">
        <f>CLEAN("RED CEDAR RIVER BRIDGE B-17-0078")</f>
        <v>RED CEDAR RIVER BRIDGE B-17-0078</v>
      </c>
      <c r="G1670" s="3" t="str">
        <f>CLEAN("DESIGN - FULL PS&amp;E/BRRHB")</f>
        <v>DESIGN - FULL PS&amp;E/BRRHB</v>
      </c>
      <c r="H1670" s="2" t="str">
        <f>CLEAN("CTH D")</f>
        <v>CTH D</v>
      </c>
      <c r="I1670" s="2" t="str">
        <f t="shared" ref="I1670:I1679" si="273">CLEAN("205")</f>
        <v>205</v>
      </c>
    </row>
    <row r="1671" spans="1:9" x14ac:dyDescent="0.35">
      <c r="A1671" s="2" t="str">
        <f t="shared" si="271"/>
        <v>DUNN</v>
      </c>
      <c r="B1671" s="2" t="str">
        <f t="shared" si="272"/>
        <v>DUNN COUNTY</v>
      </c>
      <c r="C1671" s="2" t="s">
        <v>1854</v>
      </c>
      <c r="D1671" s="2" t="str">
        <f>CLEAN("8925-03-01")</f>
        <v>8925-03-01</v>
      </c>
      <c r="E1671" s="3" t="str">
        <f>CLEAN("KNAPP - DOWNING")</f>
        <v>KNAPP - DOWNING</v>
      </c>
      <c r="F1671" s="3" t="str">
        <f>CLEAN("WILSON CREEK BRIDGE P170800")</f>
        <v>WILSON CREEK BRIDGE P170800</v>
      </c>
      <c r="G1671" s="3" t="str">
        <f>CLEAN("DESIGN/BRRPL")</f>
        <v>DESIGN/BRRPL</v>
      </c>
      <c r="H1671" s="2" t="str">
        <f>CLEAN("CTH Q")</f>
        <v>CTH Q</v>
      </c>
      <c r="I1671" s="2" t="str">
        <f t="shared" si="273"/>
        <v>205</v>
      </c>
    </row>
    <row r="1672" spans="1:9" x14ac:dyDescent="0.35">
      <c r="A1672" s="2" t="str">
        <f t="shared" si="271"/>
        <v>DUNN</v>
      </c>
      <c r="B1672" s="2" t="str">
        <f t="shared" si="272"/>
        <v>DUNN COUNTY</v>
      </c>
      <c r="C1672" s="2" t="s">
        <v>1603</v>
      </c>
      <c r="D1672" s="2" t="str">
        <f>CLEAN("8925-03-02")</f>
        <v>8925-03-02</v>
      </c>
      <c r="E1672" s="3" t="str">
        <f>CLEAN("KNAPP - DOWNING")</f>
        <v>KNAPP - DOWNING</v>
      </c>
      <c r="F1672" s="3" t="str">
        <f>CLEAN("NB WILSON CREEK BRIDGE P-17-0936")</f>
        <v>NB WILSON CREEK BRIDGE P-17-0936</v>
      </c>
      <c r="G1672" s="3" t="str">
        <f>CLEAN("DESIGN - FULL PS&amp;E/BRRPL")</f>
        <v>DESIGN - FULL PS&amp;E/BRRPL</v>
      </c>
      <c r="H1672" s="2" t="str">
        <f>CLEAN("CTH Q")</f>
        <v>CTH Q</v>
      </c>
      <c r="I1672" s="2" t="str">
        <f t="shared" si="273"/>
        <v>205</v>
      </c>
    </row>
    <row r="1673" spans="1:9" x14ac:dyDescent="0.35">
      <c r="A1673" s="2" t="str">
        <f t="shared" si="271"/>
        <v>DUNN</v>
      </c>
      <c r="B1673" s="2" t="str">
        <f t="shared" si="272"/>
        <v>DUNN COUNTY</v>
      </c>
      <c r="C1673" s="2" t="s">
        <v>1437</v>
      </c>
      <c r="D1673" s="2" t="str">
        <f>CLEAN("7874-00-00")</f>
        <v>7874-00-00</v>
      </c>
      <c r="E1673" s="3" t="str">
        <f>CLEAN("T ROCK CREEK  810TH STREET")</f>
        <v>T ROCK CREEK  810TH STREET</v>
      </c>
      <c r="F1673" s="3" t="str">
        <f>CLEAN("CRANBERRY CREEK BRIDGE P-17-0141")</f>
        <v>CRANBERRY CREEK BRIDGE P-17-0141</v>
      </c>
      <c r="G1673" s="3" t="str">
        <f>CLEAN("DESIGN - FULL PS&amp;E BRRPL")</f>
        <v>DESIGN - FULL PS&amp;E BRRPL</v>
      </c>
      <c r="H1673" s="2" t="str">
        <f>CLEAN("LOC STR")</f>
        <v>LOC STR</v>
      </c>
      <c r="I1673" s="2" t="str">
        <f t="shared" si="273"/>
        <v>205</v>
      </c>
    </row>
    <row r="1674" spans="1:9" x14ac:dyDescent="0.35">
      <c r="A1674" s="2" t="str">
        <f t="shared" si="271"/>
        <v>DUNN</v>
      </c>
      <c r="B1674" s="2" t="str">
        <f t="shared" si="272"/>
        <v>DUNN COUNTY</v>
      </c>
      <c r="C1674" s="2" t="s">
        <v>1168</v>
      </c>
      <c r="D1674" s="2" t="str">
        <f>CLEAN("7874-00-70")</f>
        <v>7874-00-70</v>
      </c>
      <c r="E1674" s="3" t="str">
        <f>CLEAN("T ROCK CREEK  810TH STREET")</f>
        <v>T ROCK CREEK  810TH STREET</v>
      </c>
      <c r="F1674" s="3" t="str">
        <f>CLEAN("CRANBERRY CREEK BRIDGE B-17-0239")</f>
        <v>CRANBERRY CREEK BRIDGE B-17-0239</v>
      </c>
      <c r="G1674" s="3" t="str">
        <f>CLEAN("CONSTRUCTION/BRIDGE REPLACEMENT")</f>
        <v>CONSTRUCTION/BRIDGE REPLACEMENT</v>
      </c>
      <c r="H1674" s="2" t="str">
        <f>CLEAN("LOC STR")</f>
        <v>LOC STR</v>
      </c>
      <c r="I1674" s="2" t="str">
        <f t="shared" si="273"/>
        <v>205</v>
      </c>
    </row>
    <row r="1675" spans="1:9" x14ac:dyDescent="0.35">
      <c r="A1675" s="2" t="str">
        <f t="shared" si="271"/>
        <v>DUNN</v>
      </c>
      <c r="B1675" s="2" t="str">
        <f t="shared" si="272"/>
        <v>DUNN COUNTY</v>
      </c>
      <c r="C1675" s="2" t="s">
        <v>1458</v>
      </c>
      <c r="D1675" s="2" t="str">
        <f>CLEAN("7878-03-00")</f>
        <v>7878-03-00</v>
      </c>
      <c r="E1675" s="3" t="str">
        <f>CLEAN("WCL - MENOMONIE")</f>
        <v>WCL - MENOMONIE</v>
      </c>
      <c r="F1675" s="3" t="str">
        <f>CLEAN("IRVING CREEK BRIDGE P-17-0915")</f>
        <v>IRVING CREEK BRIDGE P-17-0915</v>
      </c>
      <c r="G1675" s="3" t="str">
        <f>CLEAN("DESIGN - FULL PS&amp;E BRRPL")</f>
        <v>DESIGN - FULL PS&amp;E BRRPL</v>
      </c>
      <c r="H1675" s="2" t="str">
        <f>CLEAN("CTH P")</f>
        <v>CTH P</v>
      </c>
      <c r="I1675" s="2" t="str">
        <f t="shared" si="273"/>
        <v>205</v>
      </c>
    </row>
    <row r="1676" spans="1:9" x14ac:dyDescent="0.35">
      <c r="A1676" s="2" t="str">
        <f t="shared" si="271"/>
        <v>DUNN</v>
      </c>
      <c r="B1676" s="2" t="str">
        <f t="shared" si="272"/>
        <v>DUNN COUNTY</v>
      </c>
      <c r="C1676" s="2" t="s">
        <v>1186</v>
      </c>
      <c r="D1676" s="2" t="str">
        <f>CLEAN("7878-03-70")</f>
        <v>7878-03-70</v>
      </c>
      <c r="E1676" s="3" t="str">
        <f>CLEAN("WCL - MENOMONIE")</f>
        <v>WCL - MENOMONIE</v>
      </c>
      <c r="F1676" s="3" t="str">
        <f>CLEAN("IRVING CREEK BRIDGE B-17-0238")</f>
        <v>IRVING CREEK BRIDGE B-17-0238</v>
      </c>
      <c r="G1676" s="3" t="str">
        <f>CLEAN("CONSTRUCTION/BRIDGE REPLACEMENT")</f>
        <v>CONSTRUCTION/BRIDGE REPLACEMENT</v>
      </c>
      <c r="H1676" s="2" t="str">
        <f>CLEAN("CTH P")</f>
        <v>CTH P</v>
      </c>
      <c r="I1676" s="2" t="str">
        <f t="shared" si="273"/>
        <v>205</v>
      </c>
    </row>
    <row r="1677" spans="1:9" x14ac:dyDescent="0.35">
      <c r="A1677" s="2" t="str">
        <f t="shared" si="271"/>
        <v>DUNN</v>
      </c>
      <c r="B1677" s="2" t="str">
        <f t="shared" si="272"/>
        <v>DUNN COUNTY</v>
      </c>
      <c r="C1677" s="2" t="s">
        <v>1192</v>
      </c>
      <c r="D1677" s="2" t="str">
        <f>CLEAN("7879-03-74")</f>
        <v>7879-03-74</v>
      </c>
      <c r="E1677" s="3" t="str">
        <f>CLEAN("DOWNSVILLE - EAST COUNTY LINE")</f>
        <v>DOWNSVILLE - EAST COUNTY LINE</v>
      </c>
      <c r="F1677" s="3" t="str">
        <f>CLEAN("MUDDY CREEK BRIDGE B-17-0234")</f>
        <v>MUDDY CREEK BRIDGE B-17-0234</v>
      </c>
      <c r="G1677" s="3" t="str">
        <f>CLEAN("CONSTRUCTION/BRIDGE REPLACEMENT")</f>
        <v>CONSTRUCTION/BRIDGE REPLACEMENT</v>
      </c>
      <c r="H1677" s="2" t="str">
        <f>CLEAN("CTH C")</f>
        <v>CTH C</v>
      </c>
      <c r="I1677" s="2" t="str">
        <f t="shared" si="273"/>
        <v>205</v>
      </c>
    </row>
    <row r="1678" spans="1:9" x14ac:dyDescent="0.35">
      <c r="A1678" s="2" t="str">
        <f t="shared" si="271"/>
        <v>DUNN</v>
      </c>
      <c r="B1678" s="2" t="str">
        <f t="shared" si="272"/>
        <v>DUNN COUNTY</v>
      </c>
      <c r="C1678" s="2" t="s">
        <v>1418</v>
      </c>
      <c r="D1678" s="2" t="str">
        <f>CLEAN("7881-00-00")</f>
        <v>7881-00-00</v>
      </c>
      <c r="E1678" s="3" t="str">
        <f>CLEAN("T MENOMONIE  390TH STREET")</f>
        <v>T MENOMONIE  390TH STREET</v>
      </c>
      <c r="F1678" s="3" t="str">
        <f>CLEAN("WILSON CREEK BRIDGE P-17-0062")</f>
        <v>WILSON CREEK BRIDGE P-17-0062</v>
      </c>
      <c r="G1678" s="3" t="str">
        <f>CLEAN("DESIGN - FULL PS&amp;E BRRHB")</f>
        <v>DESIGN - FULL PS&amp;E BRRHB</v>
      </c>
      <c r="H1678" s="2" t="str">
        <f>CLEAN("LOC STR")</f>
        <v>LOC STR</v>
      </c>
      <c r="I1678" s="2" t="str">
        <f t="shared" si="273"/>
        <v>205</v>
      </c>
    </row>
    <row r="1679" spans="1:9" x14ac:dyDescent="0.35">
      <c r="A1679" s="2" t="str">
        <f t="shared" si="271"/>
        <v>DUNN</v>
      </c>
      <c r="B1679" s="2" t="str">
        <f t="shared" si="272"/>
        <v>DUNN COUNTY</v>
      </c>
      <c r="C1679" s="2" t="s">
        <v>1123</v>
      </c>
      <c r="D1679" s="2" t="str">
        <f>CLEAN("7881-00-70")</f>
        <v>7881-00-70</v>
      </c>
      <c r="E1679" s="3" t="str">
        <f>CLEAN("T MENOMONIE  390TH STREET")</f>
        <v>T MENOMONIE  390TH STREET</v>
      </c>
      <c r="F1679" s="3" t="str">
        <f>CLEAN("WILSON CREEK BRIDGE P-17-0062")</f>
        <v>WILSON CREEK BRIDGE P-17-0062</v>
      </c>
      <c r="G1679" s="3" t="str">
        <f>CLEAN("CONSTR/BRRHB/DECK REPLACEMENT")</f>
        <v>CONSTR/BRRHB/DECK REPLACEMENT</v>
      </c>
      <c r="H1679" s="2" t="str">
        <f>CLEAN("LOC STR")</f>
        <v>LOC STR</v>
      </c>
      <c r="I1679" s="2" t="str">
        <f t="shared" si="273"/>
        <v>205</v>
      </c>
    </row>
    <row r="1680" spans="1:9" x14ac:dyDescent="0.35">
      <c r="A1680" s="2" t="str">
        <f t="shared" si="271"/>
        <v>DUNN</v>
      </c>
      <c r="B1680" s="2" t="str">
        <f t="shared" si="272"/>
        <v>DUNN COUNTY</v>
      </c>
      <c r="C1680" s="2" t="s">
        <v>1314</v>
      </c>
      <c r="D1680" s="2" t="str">
        <f>CLEAN("7881-05-73")</f>
        <v>7881-05-73</v>
      </c>
      <c r="E1680" s="3" t="str">
        <f>CLEAN("SCL - STH 25")</f>
        <v>SCL - STH 25</v>
      </c>
      <c r="F1680" s="3" t="str">
        <f>CLEAN("CTH K TO 420TH STREET")</f>
        <v>CTH K TO 420TH STREET</v>
      </c>
      <c r="G1680" s="3" t="str">
        <f>CLEAN("CONSTRUCTION/RECONDITION")</f>
        <v>CONSTRUCTION/RECONDITION</v>
      </c>
      <c r="H1680" s="2" t="str">
        <f>CLEAN("CTH D")</f>
        <v>CTH D</v>
      </c>
      <c r="I1680" s="2" t="str">
        <f>CLEAN("206")</f>
        <v>206</v>
      </c>
    </row>
    <row r="1681" spans="1:9" x14ac:dyDescent="0.35">
      <c r="A1681" s="2" t="str">
        <f t="shared" si="271"/>
        <v>DUNN</v>
      </c>
      <c r="B1681" s="2" t="str">
        <f t="shared" si="272"/>
        <v>DUNN COUNTY</v>
      </c>
      <c r="C1681" s="2" t="s">
        <v>1221</v>
      </c>
      <c r="D1681" s="2" t="str">
        <f>CLEAN("7881-05-74")</f>
        <v>7881-05-74</v>
      </c>
      <c r="E1681" s="3" t="str">
        <f>CLEAN("WESTON - MENOMONIE")</f>
        <v>WESTON - MENOMONIE</v>
      </c>
      <c r="F1681" s="3" t="str">
        <f>CLEAN("RED CEDAR RIVER BRIDGE B-17-0078")</f>
        <v>RED CEDAR RIVER BRIDGE B-17-0078</v>
      </c>
      <c r="G1681" s="3" t="str">
        <f>CLEAN("CONSTRUCTION/BRRHB")</f>
        <v>CONSTRUCTION/BRRHB</v>
      </c>
      <c r="H1681" s="2" t="str">
        <f>CLEAN("CTH D")</f>
        <v>CTH D</v>
      </c>
      <c r="I1681" s="2" t="str">
        <f>CLEAN("205")</f>
        <v>205</v>
      </c>
    </row>
    <row r="1682" spans="1:9" x14ac:dyDescent="0.35">
      <c r="A1682" s="2" t="str">
        <f t="shared" si="271"/>
        <v>DUNN</v>
      </c>
      <c r="B1682" s="2" t="str">
        <f t="shared" si="272"/>
        <v>DUNN COUNTY</v>
      </c>
      <c r="C1682" s="2" t="s">
        <v>2261</v>
      </c>
      <c r="D1682" s="2" t="str">
        <f>CLEAN("7996-00-42")</f>
        <v>7996-00-42</v>
      </c>
      <c r="E1682" s="3" t="str">
        <f>CLEAN("C MENOMONIE  CTH B")</f>
        <v>C MENOMONIE  CTH B</v>
      </c>
      <c r="F1682" s="3" t="str">
        <f>CLEAN("USH 12 TO EB IH-94 RAMPS")</f>
        <v>USH 12 TO EB IH-94 RAMPS</v>
      </c>
      <c r="G1682" s="3" t="str">
        <f>CLEAN("DESIGN/RECONSTRUCTION")</f>
        <v>DESIGN/RECONSTRUCTION</v>
      </c>
      <c r="H1682" s="2" t="str">
        <f>CLEAN("CTH B")</f>
        <v>CTH B</v>
      </c>
      <c r="I1682" s="2" t="str">
        <f>CLEAN("206")</f>
        <v>206</v>
      </c>
    </row>
    <row r="1683" spans="1:9" x14ac:dyDescent="0.35">
      <c r="A1683" s="2" t="str">
        <f t="shared" si="271"/>
        <v>DUNN</v>
      </c>
      <c r="B1683" s="2" t="str">
        <f t="shared" si="272"/>
        <v>DUNN COUNTY</v>
      </c>
      <c r="C1683" s="2" t="s">
        <v>1331</v>
      </c>
      <c r="D1683" s="2" t="str">
        <f>CLEAN("7996-00-43")</f>
        <v>7996-00-43</v>
      </c>
      <c r="E1683" s="3" t="str">
        <f>CLEAN("C MENOMONIE  CTH B")</f>
        <v>C MENOMONIE  CTH B</v>
      </c>
      <c r="F1683" s="3" t="str">
        <f>CLEAN("USH 12 TO EB IH-94 RAMPS")</f>
        <v>USH 12 TO EB IH-94 RAMPS</v>
      </c>
      <c r="G1683" s="3" t="str">
        <f>CLEAN("CONSTRUCTION/RECONSTRUCTION")</f>
        <v>CONSTRUCTION/RECONSTRUCTION</v>
      </c>
      <c r="H1683" s="2" t="str">
        <f>CLEAN("CTH B")</f>
        <v>CTH B</v>
      </c>
      <c r="I1683" s="2" t="str">
        <f>CLEAN("206")</f>
        <v>206</v>
      </c>
    </row>
    <row r="1684" spans="1:9" x14ac:dyDescent="0.35">
      <c r="A1684" s="2" t="str">
        <f t="shared" si="271"/>
        <v>DUNN</v>
      </c>
      <c r="B1684" s="2" t="str">
        <f t="shared" si="272"/>
        <v>DUNN COUNTY</v>
      </c>
      <c r="C1684" s="2" t="s">
        <v>1841</v>
      </c>
      <c r="D1684" s="2" t="str">
        <f>CLEAN("8837-08-00")</f>
        <v>8837-08-00</v>
      </c>
      <c r="E1684" s="3" t="str">
        <f>CLEAN("CONNORSVILLE - NCL")</f>
        <v>CONNORSVILLE - NCL</v>
      </c>
      <c r="F1684" s="3" t="str">
        <f>CLEAN("FLAYTON CREEK BRIDGE B170011")</f>
        <v>FLAYTON CREEK BRIDGE B170011</v>
      </c>
      <c r="G1684" s="3" t="str">
        <f>CLEAN("DESIGN/BRRPL")</f>
        <v>DESIGN/BRRPL</v>
      </c>
      <c r="H1684" s="2" t="str">
        <f>CLEAN("CTH K")</f>
        <v>CTH K</v>
      </c>
      <c r="I1684" s="2" t="str">
        <f>CLEAN("205")</f>
        <v>205</v>
      </c>
    </row>
    <row r="1685" spans="1:9" x14ac:dyDescent="0.35">
      <c r="A1685" s="2" t="str">
        <f t="shared" si="271"/>
        <v>DUNN</v>
      </c>
      <c r="B1685" s="2" t="str">
        <f t="shared" si="272"/>
        <v>DUNN COUNTY</v>
      </c>
      <c r="C1685" s="2" t="s">
        <v>1244</v>
      </c>
      <c r="D1685" s="2" t="str">
        <f>CLEAN("8837-08-70")</f>
        <v>8837-08-70</v>
      </c>
      <c r="E1685" s="3" t="str">
        <f>CLEAN("CONNORSVILLE - NCL")</f>
        <v>CONNORSVILLE - NCL</v>
      </c>
      <c r="F1685" s="3" t="str">
        <f>CLEAN("FLAYTON CREEK BRIDGE B-17-0230")</f>
        <v>FLAYTON CREEK BRIDGE B-17-0230</v>
      </c>
      <c r="G1685" s="3" t="str">
        <f>CLEAN("CONSTRUCTION/BRRPL")</f>
        <v>CONSTRUCTION/BRRPL</v>
      </c>
      <c r="H1685" s="2" t="str">
        <f>CLEAN("CTH K")</f>
        <v>CTH K</v>
      </c>
      <c r="I1685" s="2" t="str">
        <f>CLEAN("205")</f>
        <v>205</v>
      </c>
    </row>
    <row r="1686" spans="1:9" x14ac:dyDescent="0.35">
      <c r="A1686" s="2" t="str">
        <f t="shared" si="271"/>
        <v>DUNN</v>
      </c>
      <c r="B1686" s="2" t="str">
        <f t="shared" si="272"/>
        <v>DUNN COUNTY</v>
      </c>
      <c r="C1686" s="2" t="s">
        <v>1614</v>
      </c>
      <c r="D1686" s="2" t="str">
        <f>CLEAN("8921-00-00")</f>
        <v>8921-00-00</v>
      </c>
      <c r="E1686" s="3" t="str">
        <f>CLEAN("ELK MOUND - EAST COUNTY LINE")</f>
        <v>ELK MOUND - EAST COUNTY LINE</v>
      </c>
      <c r="F1686" s="3" t="str">
        <f>CLEAN("SPRING CREEK BRIDGE B-17-0366")</f>
        <v>SPRING CREEK BRIDGE B-17-0366</v>
      </c>
      <c r="G1686" s="3" t="str">
        <f>CLEAN("DESIGN - FULL PS&amp;E/BRRPL")</f>
        <v>DESIGN - FULL PS&amp;E/BRRPL</v>
      </c>
      <c r="H1686" s="2" t="str">
        <f>CLEAN("CTH HH")</f>
        <v>CTH HH</v>
      </c>
      <c r="I1686" s="2" t="str">
        <f>CLEAN("205")</f>
        <v>205</v>
      </c>
    </row>
    <row r="1687" spans="1:9" x14ac:dyDescent="0.35">
      <c r="A1687" s="2" t="str">
        <f t="shared" si="271"/>
        <v>DUNN</v>
      </c>
      <c r="B1687" s="2" t="str">
        <f t="shared" si="272"/>
        <v>DUNN COUNTY</v>
      </c>
      <c r="C1687" s="2" t="s">
        <v>1591</v>
      </c>
      <c r="D1687" s="2" t="str">
        <f>CLEAN("8923-05-00")</f>
        <v>8923-05-00</v>
      </c>
      <c r="E1687" s="3" t="str">
        <f>CLEAN("STH 25 - NORTON")</f>
        <v>STH 25 - NORTON</v>
      </c>
      <c r="F1687" s="3" t="str">
        <f>CLEAN("HAY RIVER BRIDGE B-17-0068")</f>
        <v>HAY RIVER BRIDGE B-17-0068</v>
      </c>
      <c r="G1687" s="3" t="str">
        <f>CLEAN("DESIGN - FULL PS&amp;E/BRRPL")</f>
        <v>DESIGN - FULL PS&amp;E/BRRPL</v>
      </c>
      <c r="H1687" s="2" t="str">
        <f>CLEAN("CTH D")</f>
        <v>CTH D</v>
      </c>
      <c r="I1687" s="2" t="str">
        <f>CLEAN("205")</f>
        <v>205</v>
      </c>
    </row>
    <row r="1688" spans="1:9" x14ac:dyDescent="0.35">
      <c r="A1688" s="2" t="str">
        <f t="shared" si="271"/>
        <v>DUNN</v>
      </c>
      <c r="B1688" s="2" t="str">
        <f t="shared" si="272"/>
        <v>DUNN COUNTY</v>
      </c>
      <c r="C1688" s="2" t="s">
        <v>3276</v>
      </c>
      <c r="D1688" s="2" t="str">
        <f>CLEAN("8923-06-50")</f>
        <v>8923-06-50</v>
      </c>
      <c r="E1688" s="3" t="str">
        <f>CLEAN("CO DUNN  CTH B")</f>
        <v>CO DUNN  CTH B</v>
      </c>
      <c r="F1688" s="3" t="str">
        <f>CLEAN("UP RR XING 183913W")</f>
        <v>UP RR XING 183913W</v>
      </c>
      <c r="G1688" s="3" t="str">
        <f>CLEAN("RR OPS/TEMPORARY SIGNALS")</f>
        <v>RR OPS/TEMPORARY SIGNALS</v>
      </c>
      <c r="H1688" s="2" t="str">
        <f>CLEAN("CTH B")</f>
        <v>CTH B</v>
      </c>
      <c r="I1688" s="2" t="str">
        <f>CLEAN("206")</f>
        <v>206</v>
      </c>
    </row>
    <row r="1689" spans="1:9" x14ac:dyDescent="0.35">
      <c r="A1689" s="2" t="str">
        <f t="shared" si="271"/>
        <v>DUNN</v>
      </c>
      <c r="B1689" s="2" t="str">
        <f t="shared" si="272"/>
        <v>DUNN COUNTY</v>
      </c>
      <c r="C1689" s="2" t="s">
        <v>3227</v>
      </c>
      <c r="D1689" s="2" t="str">
        <f>CLEAN("8923-06-51")</f>
        <v>8923-06-51</v>
      </c>
      <c r="E1689" s="3" t="str">
        <f>CLEAN("CO DUNN  CTH B")</f>
        <v>CO DUNN  CTH B</v>
      </c>
      <c r="F1689" s="3" t="str">
        <f>CLEAN("UP RR XING 183913W")</f>
        <v>UP RR XING 183913W</v>
      </c>
      <c r="G1689" s="3" t="str">
        <f>CLEAN("RR OPS/CROSSING SURFACE")</f>
        <v>RR OPS/CROSSING SURFACE</v>
      </c>
      <c r="H1689" s="2" t="str">
        <f>CLEAN("CTH B")</f>
        <v>CTH B</v>
      </c>
      <c r="I1689" s="2" t="str">
        <f>CLEAN("206")</f>
        <v>206</v>
      </c>
    </row>
    <row r="1690" spans="1:9" x14ac:dyDescent="0.35">
      <c r="A1690" s="2" t="str">
        <f t="shared" si="271"/>
        <v>DUNN</v>
      </c>
      <c r="B1690" s="2" t="str">
        <f t="shared" si="272"/>
        <v>DUNN COUNTY</v>
      </c>
      <c r="C1690" s="2" t="s">
        <v>1577</v>
      </c>
      <c r="D1690" s="2" t="str">
        <f>CLEAN("8924-00-00")</f>
        <v>8924-00-00</v>
      </c>
      <c r="E1690" s="3" t="str">
        <f>CLEAN("T SHERMAN  360TH STREET")</f>
        <v>T SHERMAN  360TH STREET</v>
      </c>
      <c r="F1690" s="3" t="str">
        <f>CLEAN("CLACK CREEK BRIDGE P-17-0102")</f>
        <v>CLACK CREEK BRIDGE P-17-0102</v>
      </c>
      <c r="G1690" s="3" t="str">
        <f>CLEAN("DESIGN - FULL PS&amp;E/BRRPL")</f>
        <v>DESIGN - FULL PS&amp;E/BRRPL</v>
      </c>
      <c r="H1690" s="2" t="str">
        <f>CLEAN("LOC STR")</f>
        <v>LOC STR</v>
      </c>
      <c r="I1690" s="2" t="str">
        <f t="shared" ref="I1690:I1700" si="274">CLEAN("205")</f>
        <v>205</v>
      </c>
    </row>
    <row r="1691" spans="1:9" x14ac:dyDescent="0.35">
      <c r="A1691" s="2" t="str">
        <f t="shared" si="271"/>
        <v>DUNN</v>
      </c>
      <c r="B1691" s="2" t="str">
        <f t="shared" si="272"/>
        <v>DUNN COUNTY</v>
      </c>
      <c r="C1691" s="2" t="s">
        <v>1578</v>
      </c>
      <c r="D1691" s="2" t="str">
        <f>CLEAN("8924-00-01")</f>
        <v>8924-00-01</v>
      </c>
      <c r="E1691" s="3" t="str">
        <f>CLEAN("T SHERMAN  770TH AVENUE")</f>
        <v>T SHERMAN  770TH AVENUE</v>
      </c>
      <c r="F1691" s="3" t="str">
        <f>CLEAN("CLACK CREEK BRIDGE P-17-0912")</f>
        <v>CLACK CREEK BRIDGE P-17-0912</v>
      </c>
      <c r="G1691" s="3" t="str">
        <f>CLEAN("DESIGN - FULL PS&amp;E/BRRPL")</f>
        <v>DESIGN - FULL PS&amp;E/BRRPL</v>
      </c>
      <c r="H1691" s="2" t="str">
        <f>CLEAN("LOC STR")</f>
        <v>LOC STR</v>
      </c>
      <c r="I1691" s="2" t="str">
        <f t="shared" si="274"/>
        <v>205</v>
      </c>
    </row>
    <row r="1692" spans="1:9" x14ac:dyDescent="0.35">
      <c r="A1692" s="2" t="str">
        <f t="shared" si="271"/>
        <v>DUNN</v>
      </c>
      <c r="B1692" s="2" t="str">
        <f t="shared" si="272"/>
        <v>DUNN COUNTY</v>
      </c>
      <c r="C1692" s="2" t="s">
        <v>1580</v>
      </c>
      <c r="D1692" s="2" t="str">
        <f>CLEAN("8924-03-00")</f>
        <v>8924-03-00</v>
      </c>
      <c r="E1692" s="3" t="str">
        <f>CLEAN("KNAPP - CEDAR FALLS")</f>
        <v>KNAPP - CEDAR FALLS</v>
      </c>
      <c r="F1692" s="3" t="str">
        <f>CLEAN("COON CREEK BRIDGE P-17-0911")</f>
        <v>COON CREEK BRIDGE P-17-0911</v>
      </c>
      <c r="G1692" s="3" t="str">
        <f>CLEAN("DESIGN - FULL PS&amp;E/BRRPL")</f>
        <v>DESIGN - FULL PS&amp;E/BRRPL</v>
      </c>
      <c r="H1692" s="2" t="str">
        <f>CLEAN("CTH J")</f>
        <v>CTH J</v>
      </c>
      <c r="I1692" s="2" t="str">
        <f t="shared" si="274"/>
        <v>205</v>
      </c>
    </row>
    <row r="1693" spans="1:9" x14ac:dyDescent="0.35">
      <c r="A1693" s="2" t="str">
        <f t="shared" si="271"/>
        <v>DUNN</v>
      </c>
      <c r="B1693" s="2" t="str">
        <f t="shared" si="272"/>
        <v>DUNN COUNTY</v>
      </c>
      <c r="C1693" s="2" t="s">
        <v>1277</v>
      </c>
      <c r="D1693" s="2" t="str">
        <f>CLEAN("8925-03-71")</f>
        <v>8925-03-71</v>
      </c>
      <c r="E1693" s="3" t="str">
        <f>CLEAN("KNAPP - DOWNING")</f>
        <v>KNAPP - DOWNING</v>
      </c>
      <c r="F1693" s="3" t="str">
        <f>CLEAN("WILSON CREEK BRIDGE B-17-0232")</f>
        <v>WILSON CREEK BRIDGE B-17-0232</v>
      </c>
      <c r="G1693" s="3" t="str">
        <f>CLEAN("CONSTRUCTION/BRRPL")</f>
        <v>CONSTRUCTION/BRRPL</v>
      </c>
      <c r="H1693" s="2" t="str">
        <f>CLEAN("CTH Q")</f>
        <v>CTH Q</v>
      </c>
      <c r="I1693" s="2" t="str">
        <f t="shared" si="274"/>
        <v>205</v>
      </c>
    </row>
    <row r="1694" spans="1:9" x14ac:dyDescent="0.35">
      <c r="A1694" s="2" t="str">
        <f t="shared" si="271"/>
        <v>DUNN</v>
      </c>
      <c r="B1694" s="2" t="str">
        <f t="shared" si="272"/>
        <v>DUNN COUNTY</v>
      </c>
      <c r="C1694" s="2" t="s">
        <v>1257</v>
      </c>
      <c r="D1694" s="2" t="str">
        <f>CLEAN("8925-03-72")</f>
        <v>8925-03-72</v>
      </c>
      <c r="E1694" s="3" t="str">
        <f>CLEAN("KNAPP - DOWNING")</f>
        <v>KNAPP - DOWNING</v>
      </c>
      <c r="F1694" s="3" t="str">
        <f>CLEAN("NB WILSON CREEK BRIDGE B-17-0240")</f>
        <v>NB WILSON CREEK BRIDGE B-17-0240</v>
      </c>
      <c r="G1694" s="3" t="str">
        <f>CLEAN("CONSTRUCTION/BRRPL")</f>
        <v>CONSTRUCTION/BRRPL</v>
      </c>
      <c r="H1694" s="2" t="str">
        <f>CLEAN("CTH Q")</f>
        <v>CTH Q</v>
      </c>
      <c r="I1694" s="2" t="str">
        <f t="shared" si="274"/>
        <v>205</v>
      </c>
    </row>
    <row r="1695" spans="1:9" x14ac:dyDescent="0.35">
      <c r="A1695" s="2" t="str">
        <f t="shared" si="271"/>
        <v>DUNN</v>
      </c>
      <c r="B1695" s="2" t="str">
        <f t="shared" si="272"/>
        <v>DUNN COUNTY</v>
      </c>
      <c r="C1695" s="2" t="s">
        <v>1613</v>
      </c>
      <c r="D1695" s="2" t="str">
        <f>CLEAN("8926-00-00")</f>
        <v>8926-00-00</v>
      </c>
      <c r="E1695" s="3" t="str">
        <f>CLEAN("V DOWNING  W BOUNDARY RD")</f>
        <v>V DOWNING  W BOUNDARY RD</v>
      </c>
      <c r="F1695" s="3" t="str">
        <f>CLEAN("SANDY CREEK BRIDGE P-17-0712")</f>
        <v>SANDY CREEK BRIDGE P-17-0712</v>
      </c>
      <c r="G1695" s="3" t="str">
        <f>CLEAN("DESIGN - FULL PS&amp;E/BRRPL")</f>
        <v>DESIGN - FULL PS&amp;E/BRRPL</v>
      </c>
      <c r="H1695" s="2" t="str">
        <f>CLEAN("LOC STR")</f>
        <v>LOC STR</v>
      </c>
      <c r="I1695" s="2" t="str">
        <f t="shared" si="274"/>
        <v>205</v>
      </c>
    </row>
    <row r="1696" spans="1:9" x14ac:dyDescent="0.35">
      <c r="A1696" s="2" t="str">
        <f t="shared" si="271"/>
        <v>DUNN</v>
      </c>
      <c r="B1696" s="2" t="str">
        <f t="shared" si="272"/>
        <v>DUNN COUNTY</v>
      </c>
      <c r="C1696" s="2" t="s">
        <v>1264</v>
      </c>
      <c r="D1696" s="2" t="str">
        <f>CLEAN("8929-06-70")</f>
        <v>8929-06-70</v>
      </c>
      <c r="E1696" s="3" t="str">
        <f>CLEAN("890TH STREET - CTH S")</f>
        <v>890TH STREET - CTH S</v>
      </c>
      <c r="F1696" s="3" t="str">
        <f>CLEAN("POPPLE CREEK BRIDGE B-17-0210")</f>
        <v>POPPLE CREEK BRIDGE B-17-0210</v>
      </c>
      <c r="G1696" s="3" t="str">
        <f>CLEAN("CONSTRUCTION/BRRPL")</f>
        <v>CONSTRUCTION/BRRPL</v>
      </c>
      <c r="H1696" s="2" t="str">
        <f>CLEAN("CTH W")</f>
        <v>CTH W</v>
      </c>
      <c r="I1696" s="2" t="str">
        <f t="shared" si="274"/>
        <v>205</v>
      </c>
    </row>
    <row r="1697" spans="1:9" x14ac:dyDescent="0.35">
      <c r="A1697" s="2" t="str">
        <f t="shared" si="271"/>
        <v>DUNN</v>
      </c>
      <c r="B1697" s="2" t="str">
        <f t="shared" si="272"/>
        <v>DUNN COUNTY</v>
      </c>
      <c r="C1697" s="2" t="s">
        <v>1611</v>
      </c>
      <c r="D1697" s="2" t="str">
        <f>CLEAN("8931-00-01")</f>
        <v>8931-00-01</v>
      </c>
      <c r="E1697" s="3" t="str">
        <f>CLEAN("V RIDGELAND  ELLIOT STREET")</f>
        <v>V RIDGELAND  ELLIOT STREET</v>
      </c>
      <c r="F1697" s="3" t="str">
        <f>CLEAN("S FK LOWER PINE CK BR P-17-0706")</f>
        <v>S FK LOWER PINE CK BR P-17-0706</v>
      </c>
      <c r="G1697" s="3" t="str">
        <f>CLEAN("DESIGN - FULL PS&amp;E/BRRPL")</f>
        <v>DESIGN - FULL PS&amp;E/BRRPL</v>
      </c>
      <c r="H1697" s="2" t="str">
        <f>CLEAN("LOC STR")</f>
        <v>LOC STR</v>
      </c>
      <c r="I1697" s="2" t="str">
        <f t="shared" si="274"/>
        <v>205</v>
      </c>
    </row>
    <row r="1698" spans="1:9" x14ac:dyDescent="0.35">
      <c r="A1698" s="2" t="str">
        <f t="shared" si="271"/>
        <v>DUNN</v>
      </c>
      <c r="B1698" s="2" t="str">
        <f t="shared" si="272"/>
        <v>DUNN COUNTY</v>
      </c>
      <c r="C1698" s="2" t="s">
        <v>1612</v>
      </c>
      <c r="D1698" s="2" t="str">
        <f>CLEAN("8931-03-00")</f>
        <v>8931-03-00</v>
      </c>
      <c r="E1698" s="3" t="str">
        <f>CLEAN("RIDGELAND - EAST COUNTY LINE")</f>
        <v>RIDGELAND - EAST COUNTY LINE</v>
      </c>
      <c r="F1698" s="3" t="str">
        <f>CLEAN("SAND CREEK BRIDGE B-17-0959")</f>
        <v>SAND CREEK BRIDGE B-17-0959</v>
      </c>
      <c r="G1698" s="3" t="str">
        <f>CLEAN("DESIGN - FULL PS&amp;E/BRRPL")</f>
        <v>DESIGN - FULL PS&amp;E/BRRPL</v>
      </c>
      <c r="H1698" s="2" t="str">
        <f>CLEAN("CTH V")</f>
        <v>CTH V</v>
      </c>
      <c r="I1698" s="2" t="str">
        <f t="shared" si="274"/>
        <v>205</v>
      </c>
    </row>
    <row r="1699" spans="1:9" x14ac:dyDescent="0.35">
      <c r="A1699" s="2" t="str">
        <f t="shared" si="271"/>
        <v>DUNN</v>
      </c>
      <c r="B1699" s="2" t="str">
        <f t="shared" si="272"/>
        <v>DUNN COUNTY</v>
      </c>
      <c r="C1699" s="2" t="s">
        <v>1452</v>
      </c>
      <c r="D1699" s="2" t="str">
        <f>CLEAN("8932-03-00")</f>
        <v>8932-03-00</v>
      </c>
      <c r="E1699" s="3" t="str">
        <f>CLEAN("STH 64 - RIDGELAND")</f>
        <v>STH 64 - RIDGELAND</v>
      </c>
      <c r="F1699" s="3" t="str">
        <f>CLEAN("FLAYTON CREEK BRIDGE P-17-0925")</f>
        <v>FLAYTON CREEK BRIDGE P-17-0925</v>
      </c>
      <c r="G1699" s="3" t="str">
        <f>CLEAN("DESIGN - FULL PS&amp;E BRRPL")</f>
        <v>DESIGN - FULL PS&amp;E BRRPL</v>
      </c>
      <c r="H1699" s="2" t="str">
        <f>CLEAN("CTH V")</f>
        <v>CTH V</v>
      </c>
      <c r="I1699" s="2" t="str">
        <f t="shared" si="274"/>
        <v>205</v>
      </c>
    </row>
    <row r="1700" spans="1:9" x14ac:dyDescent="0.35">
      <c r="A1700" s="2" t="str">
        <f t="shared" si="271"/>
        <v>DUNN</v>
      </c>
      <c r="B1700" s="2" t="str">
        <f t="shared" si="272"/>
        <v>DUNN COUNTY</v>
      </c>
      <c r="C1700" s="2" t="s">
        <v>1180</v>
      </c>
      <c r="D1700" s="2" t="str">
        <f>CLEAN("8932-03-70")</f>
        <v>8932-03-70</v>
      </c>
      <c r="E1700" s="3" t="str">
        <f>CLEAN("STH 64 - RIDGELAND")</f>
        <v>STH 64 - RIDGELAND</v>
      </c>
      <c r="F1700" s="3" t="str">
        <f>CLEAN("FLAYTON CREEK BRIDGE B-17-0237")</f>
        <v>FLAYTON CREEK BRIDGE B-17-0237</v>
      </c>
      <c r="G1700" s="3" t="str">
        <f>CLEAN("CONSTRUCTION/BRIDGE REPLACEMENT")</f>
        <v>CONSTRUCTION/BRIDGE REPLACEMENT</v>
      </c>
      <c r="H1700" s="2" t="str">
        <f>CLEAN("CTH V")</f>
        <v>CTH V</v>
      </c>
      <c r="I1700" s="2" t="str">
        <f t="shared" si="274"/>
        <v>205</v>
      </c>
    </row>
    <row r="1701" spans="1:9" x14ac:dyDescent="0.35">
      <c r="A1701" s="2" t="str">
        <f>CLEAN("STATEWIDE")</f>
        <v>STATEWIDE</v>
      </c>
      <c r="B1701" s="2" t="str">
        <f>CLEAN("EAST CENTRAL WIS REGIONAL PLANNING COMM")</f>
        <v>EAST CENTRAL WIS REGIONAL PLANNING COMM</v>
      </c>
      <c r="C1701" s="2" t="s">
        <v>2598</v>
      </c>
      <c r="D1701" s="2" t="str">
        <f>CLEAN("1009-01-13")</f>
        <v>1009-01-13</v>
      </c>
      <c r="E1701" s="3" t="str">
        <f>CLEAN("East Central WI SRTS Program")</f>
        <v>East Central WI SRTS Program</v>
      </c>
      <c r="F1701" s="3" t="str">
        <f>CLEAN("REGION-WIDE YEAR 1 OF 2")</f>
        <v>REGION-WIDE YEAR 1 OF 2</v>
      </c>
      <c r="G1701" s="3" t="str">
        <f>CLEAN("NON-INF SAFE ROUTES TO SCHOOL")</f>
        <v>NON-INF SAFE ROUTES TO SCHOOL</v>
      </c>
      <c r="H1701" s="2" t="str">
        <f>CLEAN("VAR HWY")</f>
        <v>VAR HWY</v>
      </c>
      <c r="I1701" s="2" t="str">
        <f>CLEAN("290")</f>
        <v>290</v>
      </c>
    </row>
    <row r="1702" spans="1:9" x14ac:dyDescent="0.35">
      <c r="A1702" s="2" t="str">
        <f>CLEAN("CALUMET")</f>
        <v>CALUMET</v>
      </c>
      <c r="B1702" s="2" t="str">
        <f>CLEAN("EAST CENTRAL WIS REGIONAL PLANNING COMM")</f>
        <v>EAST CENTRAL WIS REGIONAL PLANNING COMM</v>
      </c>
      <c r="C1702" s="2" t="s">
        <v>2597</v>
      </c>
      <c r="D1702" s="2" t="str">
        <f>CLEAN("1009-01-14")</f>
        <v>1009-01-14</v>
      </c>
      <c r="E1702" s="3" t="str">
        <f>CLEAN("East Central WI SRTS Program")</f>
        <v>East Central WI SRTS Program</v>
      </c>
      <c r="F1702" s="3" t="str">
        <f>CLEAN("REGION-WIDE SRTS YEAR 2 OF 2")</f>
        <v>REGION-WIDE SRTS YEAR 2 OF 2</v>
      </c>
      <c r="G1702" s="3" t="str">
        <f>CLEAN("NON-INF SAFE ROUTES TO SCHOOL")</f>
        <v>NON-INF SAFE ROUTES TO SCHOOL</v>
      </c>
      <c r="H1702" s="2" t="str">
        <f>CLEAN("VAR HWY")</f>
        <v>VAR HWY</v>
      </c>
      <c r="I1702" s="2" t="str">
        <f>CLEAN("290")</f>
        <v>290</v>
      </c>
    </row>
    <row r="1703" spans="1:9" x14ac:dyDescent="0.35">
      <c r="A1703" s="2" t="str">
        <f>CLEAN("OUTAGAMIE")</f>
        <v>OUTAGAMIE</v>
      </c>
      <c r="B1703" s="2" t="str">
        <f>CLEAN("EAST CENTRAL WIS REGIONAL PLANNING COMM")</f>
        <v>EAST CENTRAL WIS REGIONAL PLANNING COMM</v>
      </c>
      <c r="C1703" s="2" t="s">
        <v>3330</v>
      </c>
      <c r="D1703" s="2" t="str">
        <f>CLEAN("1009-01-17")</f>
        <v>1009-01-17</v>
      </c>
      <c r="E1703" s="3" t="str">
        <f>CLEAN("City of Appleton SRTS Program")</f>
        <v>City of Appleton SRTS Program</v>
      </c>
      <c r="F1703" s="3" t="str">
        <f>CLEAN("CI APPLETON ONLY SRTS YR 1")</f>
        <v>CI APPLETON ONLY SRTS YR 1</v>
      </c>
      <c r="G1703" s="3" t="str">
        <f>CLEAN("SAFE ROUTES TO SCHOOL YEAR 1 OF 2")</f>
        <v>SAFE ROUTES TO SCHOOL YEAR 1 OF 2</v>
      </c>
      <c r="H1703" s="2" t="str">
        <f>CLEAN("NON HWY")</f>
        <v>NON HWY</v>
      </c>
      <c r="I1703" s="2" t="str">
        <f>CLEAN("290")</f>
        <v>290</v>
      </c>
    </row>
    <row r="1704" spans="1:9" x14ac:dyDescent="0.35">
      <c r="A1704" s="2" t="str">
        <f>CLEAN("OUTAGAMIE")</f>
        <v>OUTAGAMIE</v>
      </c>
      <c r="B1704" s="2" t="str">
        <f>CLEAN("EAST CENTRAL WIS REGIONAL PLANNING COMM")</f>
        <v>EAST CENTRAL WIS REGIONAL PLANNING COMM</v>
      </c>
      <c r="C1704" s="2" t="s">
        <v>2592</v>
      </c>
      <c r="D1704" s="2" t="str">
        <f>CLEAN("1009-01-18")</f>
        <v>1009-01-18</v>
      </c>
      <c r="E1704" s="3" t="str">
        <f>CLEAN("City of Appleton SRTS PRGM")</f>
        <v>City of Appleton SRTS PRGM</v>
      </c>
      <c r="F1704" s="3" t="str">
        <f>CLEAN("CI APPLETON ONLY YR 2 OF 2")</f>
        <v>CI APPLETON ONLY YR 2 OF 2</v>
      </c>
      <c r="G1704" s="3" t="str">
        <f>CLEAN("NON-INF SAFE ROUTES TO SCHOOL")</f>
        <v>NON-INF SAFE ROUTES TO SCHOOL</v>
      </c>
      <c r="H1704" s="2" t="str">
        <f>CLEAN("NON HWY")</f>
        <v>NON HWY</v>
      </c>
      <c r="I1704" s="2" t="str">
        <f>CLEAN("290")</f>
        <v>290</v>
      </c>
    </row>
    <row r="1705" spans="1:9" x14ac:dyDescent="0.35">
      <c r="A1705" s="2" t="str">
        <f>CLEAN("OUTAGAMIE")</f>
        <v>OUTAGAMIE</v>
      </c>
      <c r="B1705" s="2" t="str">
        <f>CLEAN("EAST CENTRAL WIS REGIONAL PLANNING COMM")</f>
        <v>EAST CENTRAL WIS REGIONAL PLANNING COMM</v>
      </c>
      <c r="C1705" s="2" t="s">
        <v>3329</v>
      </c>
      <c r="D1705" s="2" t="str">
        <f>CLEAN("1009-24-24")</f>
        <v>1009-24-24</v>
      </c>
      <c r="E1705" s="3" t="str">
        <f>CLEAN("ECWRPC SRTS APPLETON TMA")</f>
        <v>ECWRPC SRTS APPLETON TMA</v>
      </c>
      <c r="F1705" s="3" t="str">
        <f>CLEAN("APPLETON TMA SRTS YR 1 AND 2")</f>
        <v>APPLETON TMA SRTS YR 1 AND 2</v>
      </c>
      <c r="G1705" s="3" t="str">
        <f>CLEAN("SAFE ROUTES TO SCHOOL YEAR 1 AND 2")</f>
        <v>SAFE ROUTES TO SCHOOL YEAR 1 AND 2</v>
      </c>
      <c r="H1705" s="2" t="str">
        <f>CLEAN("NON HWY")</f>
        <v>NON HWY</v>
      </c>
      <c r="I1705" s="2" t="str">
        <f>CLEAN("290")</f>
        <v>290</v>
      </c>
    </row>
    <row r="1706" spans="1:9" x14ac:dyDescent="0.35">
      <c r="A1706" s="2" t="str">
        <f>CLEAN("WALWORTH")</f>
        <v>WALWORTH</v>
      </c>
      <c r="B1706" s="2" t="str">
        <f>CLEAN("EAST TROY RAILROAD MUSEUM")</f>
        <v>EAST TROY RAILROAD MUSEUM</v>
      </c>
      <c r="C1706" s="2" t="s">
        <v>3323</v>
      </c>
      <c r="D1706" s="2" t="str">
        <f>CLEAN("2698-03-52")</f>
        <v>2698-03-52</v>
      </c>
      <c r="E1706" s="3" t="str">
        <f>CLEAN("EAST TROY - RACINE")</f>
        <v>EAST TROY - RACINE</v>
      </c>
      <c r="F1706" s="3" t="str">
        <f>CLEAN("THOMAS DRIVE TO HONEY CREEK ROAD")</f>
        <v>THOMAS DRIVE TO HONEY CREEK ROAD</v>
      </c>
      <c r="G1706" s="3" t="str">
        <f>CLEAN("RR/XING SURFACE/RR MUSEUM 310167S")</f>
        <v>RR/XING SURFACE/RR MUSEUM 310167S</v>
      </c>
      <c r="H1706" s="2" t="str">
        <f>CLEAN("STH 020")</f>
        <v>STH 020</v>
      </c>
      <c r="I1706" s="2" t="str">
        <f>CLEAN("303")</f>
        <v>303</v>
      </c>
    </row>
    <row r="1707" spans="1:9" x14ac:dyDescent="0.35">
      <c r="A1707" s="2" t="str">
        <f>CLEAN("EAU CLAIRE")</f>
        <v>EAU CLAIRE</v>
      </c>
      <c r="B1707" s="2" t="str">
        <f t="shared" ref="B1707:B1730" si="275">CLEAN("EAU CLAIRE COUNTY")</f>
        <v>EAU CLAIRE COUNTY</v>
      </c>
      <c r="C1707" s="2" t="s">
        <v>2327</v>
      </c>
      <c r="D1707" s="2" t="str">
        <f>CLEAN("7820-03-02")</f>
        <v>7820-03-02</v>
      </c>
      <c r="E1707" s="3" t="str">
        <f>CLEAN("FALL CREEK - WILSON")</f>
        <v>FALL CREEK - WILSON</v>
      </c>
      <c r="F1707" s="3" t="str">
        <f>CLEAN("EAU CLAIRE RIVER BRIDGE B-18-0001")</f>
        <v>EAU CLAIRE RIVER BRIDGE B-18-0001</v>
      </c>
      <c r="G1707" s="3" t="str">
        <f>CLEAN("DESIGN-FULL PS&amp;E/BRIDGE REPLACEMENT")</f>
        <v>DESIGN-FULL PS&amp;E/BRIDGE REPLACEMENT</v>
      </c>
      <c r="H1707" s="2" t="str">
        <f>CLEAN("CTH D")</f>
        <v>CTH D</v>
      </c>
      <c r="I1707" s="2" t="str">
        <f>CLEAN("205")</f>
        <v>205</v>
      </c>
    </row>
    <row r="1708" spans="1:9" x14ac:dyDescent="0.35">
      <c r="A1708" s="2" t="str">
        <f>CLEAN("EAU CLAIRE")</f>
        <v>EAU CLAIRE</v>
      </c>
      <c r="B1708" s="2" t="str">
        <f t="shared" si="275"/>
        <v>EAU CLAIRE COUNTY</v>
      </c>
      <c r="C1708" s="2" t="s">
        <v>2245</v>
      </c>
      <c r="D1708" s="2" t="str">
        <f>CLEAN("7823-07-03")</f>
        <v>7823-07-03</v>
      </c>
      <c r="E1708" s="3" t="str">
        <f>CLEAN("FALL CREEK - NCL")</f>
        <v>FALL CREEK - NCL</v>
      </c>
      <c r="F1708" s="3" t="str">
        <f>CLEAN("CTH XX TO STH 27")</f>
        <v>CTH XX TO STH 27</v>
      </c>
      <c r="G1708" s="3" t="str">
        <f>CLEAN("DESIGN/RECONDITION")</f>
        <v>DESIGN/RECONDITION</v>
      </c>
      <c r="H1708" s="2" t="str">
        <f>CLEAN("CTH D")</f>
        <v>CTH D</v>
      </c>
      <c r="I1708" s="2" t="str">
        <f>CLEAN("206")</f>
        <v>206</v>
      </c>
    </row>
    <row r="1709" spans="1:9" x14ac:dyDescent="0.35">
      <c r="A1709" s="2" t="str">
        <f>CLEAN("CHIPPEWA")</f>
        <v>CHIPPEWA</v>
      </c>
      <c r="B1709" s="2" t="str">
        <f t="shared" si="275"/>
        <v>EAU CLAIRE COUNTY</v>
      </c>
      <c r="C1709" s="2" t="s">
        <v>2260</v>
      </c>
      <c r="D1709" s="2" t="str">
        <f>CLEAN("7825-04-01")</f>
        <v>7825-04-01</v>
      </c>
      <c r="E1709" s="3" t="str">
        <f>CLEAN("STH 312 - STH 29")</f>
        <v>STH 312 - STH 29</v>
      </c>
      <c r="F1709" s="3" t="str">
        <f>CLEAN("STH 312 TO STH 29")</f>
        <v>STH 312 TO STH 29</v>
      </c>
      <c r="G1709" s="3" t="str">
        <f>CLEAN("DESIGN/RECONSTRUCTION")</f>
        <v>DESIGN/RECONSTRUCTION</v>
      </c>
      <c r="H1709" s="2" t="str">
        <f>CLEAN("CTH T")</f>
        <v>CTH T</v>
      </c>
      <c r="I1709" s="2" t="str">
        <f>CLEAN("206")</f>
        <v>206</v>
      </c>
    </row>
    <row r="1710" spans="1:9" x14ac:dyDescent="0.35">
      <c r="A1710" s="2" t="str">
        <f>CLEAN("CHIPPEWA")</f>
        <v>CHIPPEWA</v>
      </c>
      <c r="B1710" s="2" t="str">
        <f t="shared" si="275"/>
        <v>EAU CLAIRE COUNTY</v>
      </c>
      <c r="C1710" s="2" t="s">
        <v>2257</v>
      </c>
      <c r="D1710" s="2" t="str">
        <f>CLEAN("7825-04-02")</f>
        <v>7825-04-02</v>
      </c>
      <c r="E1710" s="3" t="str">
        <f>CLEAN("STH 312 - STH 29 (PHASE I)")</f>
        <v>STH 312 - STH 29 (PHASE I)</v>
      </c>
      <c r="F1710" s="3" t="str">
        <f>CLEAN("17TH AVENUE TO 33RD AVENUE")</f>
        <v>17TH AVENUE TO 33RD AVENUE</v>
      </c>
      <c r="G1710" s="3" t="str">
        <f>CLEAN("DESIGN/RECONSTRUCTION")</f>
        <v>DESIGN/RECONSTRUCTION</v>
      </c>
      <c r="H1710" s="2" t="str">
        <f>CLEAN("CTH T")</f>
        <v>CTH T</v>
      </c>
      <c r="I1710" s="2" t="str">
        <f>CLEAN("206")</f>
        <v>206</v>
      </c>
    </row>
    <row r="1711" spans="1:9" x14ac:dyDescent="0.35">
      <c r="A1711" s="2" t="str">
        <f>CLEAN("CHIPPEWA")</f>
        <v>CHIPPEWA</v>
      </c>
      <c r="B1711" s="2" t="str">
        <f t="shared" si="275"/>
        <v>EAU CLAIRE COUNTY</v>
      </c>
      <c r="C1711" s="2" t="s">
        <v>3160</v>
      </c>
      <c r="D1711" s="2" t="str">
        <f>CLEAN("7825-04-22")</f>
        <v>7825-04-22</v>
      </c>
      <c r="E1711" s="3" t="str">
        <f>CLEAN("STH 312 - STH 29 (PHASE I)")</f>
        <v>STH 312 - STH 29 (PHASE I)</v>
      </c>
      <c r="F1711" s="3" t="str">
        <f>CLEAN("17TH AVENUE TO 33RD AVENUE")</f>
        <v>17TH AVENUE TO 33RD AVENUE</v>
      </c>
      <c r="G1711" s="3" t="str">
        <f>CLEAN("REAL ESTATE ACQUISITION")</f>
        <v>REAL ESTATE ACQUISITION</v>
      </c>
      <c r="H1711" s="2" t="str">
        <f>CLEAN("CTH T")</f>
        <v>CTH T</v>
      </c>
      <c r="I1711" s="2" t="str">
        <f>CLEAN("206")</f>
        <v>206</v>
      </c>
    </row>
    <row r="1712" spans="1:9" x14ac:dyDescent="0.35">
      <c r="A1712" s="2" t="str">
        <f t="shared" ref="A1712:A1730" si="276">CLEAN("EAU CLAIRE")</f>
        <v>EAU CLAIRE</v>
      </c>
      <c r="B1712" s="2" t="str">
        <f t="shared" si="275"/>
        <v>EAU CLAIRE COUNTY</v>
      </c>
      <c r="C1712" s="2" t="s">
        <v>1573</v>
      </c>
      <c r="D1712" s="2" t="str">
        <f>CLEAN("7375-00-01")</f>
        <v>7375-00-01</v>
      </c>
      <c r="E1712" s="3" t="str">
        <f>CLEAN("FOSTER - FALL CREEK")</f>
        <v>FOSTER - FALL CREEK</v>
      </c>
      <c r="F1712" s="3" t="str">
        <f>CLEAN("BRANCH OTTER CREEK BRIDGE B-18-0097")</f>
        <v>BRANCH OTTER CREEK BRIDGE B-18-0097</v>
      </c>
      <c r="G1712" s="3" t="str">
        <f>CLEAN("DESIGN - FULL PS&amp;E/BRRPL")</f>
        <v>DESIGN - FULL PS&amp;E/BRRPL</v>
      </c>
      <c r="H1712" s="2" t="str">
        <f>CLEAN("CTH K")</f>
        <v>CTH K</v>
      </c>
      <c r="I1712" s="2" t="str">
        <f t="shared" ref="I1712:I1717" si="277">CLEAN("205")</f>
        <v>205</v>
      </c>
    </row>
    <row r="1713" spans="1:9" x14ac:dyDescent="0.35">
      <c r="A1713" s="2" t="str">
        <f t="shared" si="276"/>
        <v>EAU CLAIRE</v>
      </c>
      <c r="B1713" s="2" t="str">
        <f t="shared" si="275"/>
        <v>EAU CLAIRE COUNTY</v>
      </c>
      <c r="C1713" s="2" t="s">
        <v>1236</v>
      </c>
      <c r="D1713" s="2" t="str">
        <f>CLEAN("7375-00-71")</f>
        <v>7375-00-71</v>
      </c>
      <c r="E1713" s="3" t="str">
        <f>CLEAN("FOSTER - FALL CREEK")</f>
        <v>FOSTER - FALL CREEK</v>
      </c>
      <c r="F1713" s="3" t="str">
        <f>CLEAN("BRANCH OTTER CREEK BRIDGE B-18-0258")</f>
        <v>BRANCH OTTER CREEK BRIDGE B-18-0258</v>
      </c>
      <c r="G1713" s="3" t="str">
        <f>CLEAN("CONSTRUCTION/BRRPL")</f>
        <v>CONSTRUCTION/BRRPL</v>
      </c>
      <c r="H1713" s="2" t="str">
        <f>CLEAN("CTH K")</f>
        <v>CTH K</v>
      </c>
      <c r="I1713" s="2" t="str">
        <f t="shared" si="277"/>
        <v>205</v>
      </c>
    </row>
    <row r="1714" spans="1:9" x14ac:dyDescent="0.35">
      <c r="A1714" s="2" t="str">
        <f t="shared" si="276"/>
        <v>EAU CLAIRE</v>
      </c>
      <c r="B1714" s="2" t="str">
        <f t="shared" si="275"/>
        <v>EAU CLAIRE COUNTY</v>
      </c>
      <c r="C1714" s="2" t="s">
        <v>1453</v>
      </c>
      <c r="D1714" s="2" t="str">
        <f>CLEAN("7820-00-00")</f>
        <v>7820-00-00</v>
      </c>
      <c r="E1714" s="3" t="str">
        <f>CLEAN("T WILSON  GRAVEL PIT ROAD")</f>
        <v>T WILSON  GRAVEL PIT ROAD</v>
      </c>
      <c r="F1714" s="3" t="str">
        <f>CLEAN("HAY CREEK BRIDGE P-18-0921")</f>
        <v>HAY CREEK BRIDGE P-18-0921</v>
      </c>
      <c r="G1714" s="3" t="str">
        <f>CLEAN("DESIGN - FULL PS&amp;E BRRPL")</f>
        <v>DESIGN - FULL PS&amp;E BRRPL</v>
      </c>
      <c r="H1714" s="2" t="str">
        <f>CLEAN("LOC STR")</f>
        <v>LOC STR</v>
      </c>
      <c r="I1714" s="2" t="str">
        <f t="shared" si="277"/>
        <v>205</v>
      </c>
    </row>
    <row r="1715" spans="1:9" x14ac:dyDescent="0.35">
      <c r="A1715" s="2" t="str">
        <f t="shared" si="276"/>
        <v>EAU CLAIRE</v>
      </c>
      <c r="B1715" s="2" t="str">
        <f t="shared" si="275"/>
        <v>EAU CLAIRE COUNTY</v>
      </c>
      <c r="C1715" s="2" t="s">
        <v>1184</v>
      </c>
      <c r="D1715" s="2" t="str">
        <f>CLEAN("7820-00-70")</f>
        <v>7820-00-70</v>
      </c>
      <c r="E1715" s="3" t="str">
        <f>CLEAN("T WILSON  GRAVEL PIT ROAD")</f>
        <v>T WILSON  GRAVEL PIT ROAD</v>
      </c>
      <c r="F1715" s="3" t="str">
        <f>CLEAN("HAY CREEK BRIDGE B-18-0247")</f>
        <v>HAY CREEK BRIDGE B-18-0247</v>
      </c>
      <c r="G1715" s="3" t="str">
        <f>CLEAN("CONSTRUCTION/BRIDGE REPLACEMENT")</f>
        <v>CONSTRUCTION/BRIDGE REPLACEMENT</v>
      </c>
      <c r="H1715" s="2" t="str">
        <f>CLEAN("LOC STR")</f>
        <v>LOC STR</v>
      </c>
      <c r="I1715" s="2" t="str">
        <f t="shared" si="277"/>
        <v>205</v>
      </c>
    </row>
    <row r="1716" spans="1:9" x14ac:dyDescent="0.35">
      <c r="A1716" s="2" t="str">
        <f t="shared" si="276"/>
        <v>EAU CLAIRE</v>
      </c>
      <c r="B1716" s="2" t="str">
        <f t="shared" si="275"/>
        <v>EAU CLAIRE COUNTY</v>
      </c>
      <c r="C1716" s="2" t="s">
        <v>1679</v>
      </c>
      <c r="D1716" s="2" t="str">
        <f>CLEAN("7820-08-00")</f>
        <v>7820-08-00</v>
      </c>
      <c r="E1716" s="3" t="str">
        <f>CLEAN("WILSON - ECL")</f>
        <v>WILSON - ECL</v>
      </c>
      <c r="F1716" s="3" t="str">
        <f>CLEAN("WOLF RIVER BRIDGE B-18-0004")</f>
        <v>WOLF RIVER BRIDGE B-18-0004</v>
      </c>
      <c r="G1716" s="3" t="str">
        <f>CLEAN("DESIGN - FULL/PS&amp;E BRRPL")</f>
        <v>DESIGN - FULL/PS&amp;E BRRPL</v>
      </c>
      <c r="H1716" s="2" t="str">
        <f>CLEAN("CTH MM")</f>
        <v>CTH MM</v>
      </c>
      <c r="I1716" s="2" t="str">
        <f t="shared" si="277"/>
        <v>205</v>
      </c>
    </row>
    <row r="1717" spans="1:9" x14ac:dyDescent="0.35">
      <c r="A1717" s="2" t="str">
        <f t="shared" si="276"/>
        <v>EAU CLAIRE</v>
      </c>
      <c r="B1717" s="2" t="str">
        <f t="shared" si="275"/>
        <v>EAU CLAIRE COUNTY</v>
      </c>
      <c r="C1717" s="2" t="s">
        <v>1278</v>
      </c>
      <c r="D1717" s="2" t="str">
        <f>CLEAN("7820-08-70")</f>
        <v>7820-08-70</v>
      </c>
      <c r="E1717" s="3" t="str">
        <f>CLEAN("WILSON - ECL")</f>
        <v>WILSON - ECL</v>
      </c>
      <c r="F1717" s="3" t="str">
        <f>CLEAN("WOLF RIVER BRIDGE B-18-0254")</f>
        <v>WOLF RIVER BRIDGE B-18-0254</v>
      </c>
      <c r="G1717" s="3" t="str">
        <f>CLEAN("CONSTRUCTION/BRRPL")</f>
        <v>CONSTRUCTION/BRRPL</v>
      </c>
      <c r="H1717" s="2" t="str">
        <f>CLEAN("CTH MM")</f>
        <v>CTH MM</v>
      </c>
      <c r="I1717" s="2" t="str">
        <f t="shared" si="277"/>
        <v>205</v>
      </c>
    </row>
    <row r="1718" spans="1:9" x14ac:dyDescent="0.35">
      <c r="A1718" s="2" t="str">
        <f t="shared" si="276"/>
        <v>EAU CLAIRE</v>
      </c>
      <c r="B1718" s="2" t="str">
        <f t="shared" si="275"/>
        <v>EAU CLAIRE COUNTY</v>
      </c>
      <c r="C1718" s="2" t="s">
        <v>1636</v>
      </c>
      <c r="D1718" s="2" t="str">
        <f>CLEAN("7822-07-00")</f>
        <v>7822-07-00</v>
      </c>
      <c r="E1718" s="3" t="str">
        <f>CLEAN("ALTOONA - CTH K")</f>
        <v>ALTOONA - CTH K</v>
      </c>
      <c r="F1718" s="3" t="str">
        <f>CLEAN("SCHULTZ RD TO PINE RD")</f>
        <v>SCHULTZ RD TO PINE RD</v>
      </c>
      <c r="G1718" s="3" t="str">
        <f>CLEAN("DESIGN - FULL PS&amp;E/PVRPLA")</f>
        <v>DESIGN - FULL PS&amp;E/PVRPLA</v>
      </c>
      <c r="H1718" s="2" t="str">
        <f>CLEAN("CTH SS")</f>
        <v>CTH SS</v>
      </c>
      <c r="I1718" s="2" t="str">
        <f>CLEAN("206")</f>
        <v>206</v>
      </c>
    </row>
    <row r="1719" spans="1:9" x14ac:dyDescent="0.35">
      <c r="A1719" s="2" t="str">
        <f t="shared" si="276"/>
        <v>EAU CLAIRE</v>
      </c>
      <c r="B1719" s="2" t="str">
        <f t="shared" si="275"/>
        <v>EAU CLAIRE COUNTY</v>
      </c>
      <c r="C1719" s="2" t="s">
        <v>1688</v>
      </c>
      <c r="D1719" s="2" t="str">
        <f>CLEAN("7823-00-00")</f>
        <v>7823-00-00</v>
      </c>
      <c r="E1719" s="3" t="str">
        <f>CLEAN("AUGUSTA - FALL CREEK")</f>
        <v>AUGUSTA - FALL CREEK</v>
      </c>
      <c r="F1719" s="3" t="str">
        <f>CLEAN("BEARGRASS CREEK BRIDGE P-18-0057")</f>
        <v>BEARGRASS CREEK BRIDGE P-18-0057</v>
      </c>
      <c r="G1719" s="3" t="str">
        <f>CLEAN("DESIGN FULL PS&amp;E/BRRPL")</f>
        <v>DESIGN FULL PS&amp;E/BRRPL</v>
      </c>
      <c r="H1719" s="2" t="str">
        <f>CLEAN("CTH AF")</f>
        <v>CTH AF</v>
      </c>
      <c r="I1719" s="2" t="str">
        <f t="shared" ref="I1719:I1724" si="278">CLEAN("205")</f>
        <v>205</v>
      </c>
    </row>
    <row r="1720" spans="1:9" x14ac:dyDescent="0.35">
      <c r="A1720" s="2" t="str">
        <f t="shared" si="276"/>
        <v>EAU CLAIRE</v>
      </c>
      <c r="B1720" s="2" t="str">
        <f t="shared" si="275"/>
        <v>EAU CLAIRE COUNTY</v>
      </c>
      <c r="C1720" s="2" t="s">
        <v>1568</v>
      </c>
      <c r="D1720" s="2" t="str">
        <f>CLEAN("7823-00-02")</f>
        <v>7823-00-02</v>
      </c>
      <c r="E1720" s="3" t="str">
        <f>CLEAN("T LINCOLN  MORNING CREST DRIVE")</f>
        <v>T LINCOLN  MORNING CREST DRIVE</v>
      </c>
      <c r="F1720" s="3" t="str">
        <f>CLEAN("BEARGRASS CREEK BRIDGE P-18-0105")</f>
        <v>BEARGRASS CREEK BRIDGE P-18-0105</v>
      </c>
      <c r="G1720" s="3" t="str">
        <f>CLEAN("DESIGN - FULL PS&amp;E/BRRPL")</f>
        <v>DESIGN - FULL PS&amp;E/BRRPL</v>
      </c>
      <c r="H1720" s="2" t="str">
        <f>CLEAN("LOC STR")</f>
        <v>LOC STR</v>
      </c>
      <c r="I1720" s="2" t="str">
        <f t="shared" si="278"/>
        <v>205</v>
      </c>
    </row>
    <row r="1721" spans="1:9" x14ac:dyDescent="0.35">
      <c r="A1721" s="2" t="str">
        <f t="shared" si="276"/>
        <v>EAU CLAIRE</v>
      </c>
      <c r="B1721" s="2" t="str">
        <f t="shared" si="275"/>
        <v>EAU CLAIRE COUNTY</v>
      </c>
      <c r="C1721" s="2" t="s">
        <v>1231</v>
      </c>
      <c r="D1721" s="2" t="str">
        <f>CLEAN("7823-00-70")</f>
        <v>7823-00-70</v>
      </c>
      <c r="E1721" s="3" t="str">
        <f>CLEAN("AUGUSTA - FALL CREEK")</f>
        <v>AUGUSTA - FALL CREEK</v>
      </c>
      <c r="F1721" s="3" t="str">
        <f>CLEAN("BEARGRASS CREEK BRIDGE B-18-0257")</f>
        <v>BEARGRASS CREEK BRIDGE B-18-0257</v>
      </c>
      <c r="G1721" s="3" t="str">
        <f>CLEAN("CONSTRUCTION/BRRPL")</f>
        <v>CONSTRUCTION/BRRPL</v>
      </c>
      <c r="H1721" s="2" t="str">
        <f>CLEAN("CTH AF")</f>
        <v>CTH AF</v>
      </c>
      <c r="I1721" s="2" t="str">
        <f t="shared" si="278"/>
        <v>205</v>
      </c>
    </row>
    <row r="1722" spans="1:9" x14ac:dyDescent="0.35">
      <c r="A1722" s="2" t="str">
        <f t="shared" si="276"/>
        <v>EAU CLAIRE</v>
      </c>
      <c r="B1722" s="2" t="str">
        <f t="shared" si="275"/>
        <v>EAU CLAIRE COUNTY</v>
      </c>
      <c r="C1722" s="2" t="s">
        <v>1466</v>
      </c>
      <c r="D1722" s="2" t="str">
        <f>CLEAN("7826-07-00")</f>
        <v>7826-07-00</v>
      </c>
      <c r="E1722" s="3" t="str">
        <f>CLEAN("STH 93 - EAU CLAIRE")</f>
        <v>STH 93 - EAU CLAIRE</v>
      </c>
      <c r="F1722" s="3" t="str">
        <f>CLEAN("LOWES CREEK BRIDGE B-18-0008")</f>
        <v>LOWES CREEK BRIDGE B-18-0008</v>
      </c>
      <c r="G1722" s="3" t="str">
        <f>CLEAN("DESIGN - FULL PS&amp;E BRRPL")</f>
        <v>DESIGN - FULL PS&amp;E BRRPL</v>
      </c>
      <c r="H1722" s="2" t="str">
        <f>CLEAN("CTH F")</f>
        <v>CTH F</v>
      </c>
      <c r="I1722" s="2" t="str">
        <f t="shared" si="278"/>
        <v>205</v>
      </c>
    </row>
    <row r="1723" spans="1:9" x14ac:dyDescent="0.35">
      <c r="A1723" s="2" t="str">
        <f t="shared" si="276"/>
        <v>EAU CLAIRE</v>
      </c>
      <c r="B1723" s="2" t="str">
        <f t="shared" si="275"/>
        <v>EAU CLAIRE COUNTY</v>
      </c>
      <c r="C1723" s="2" t="s">
        <v>1199</v>
      </c>
      <c r="D1723" s="2" t="str">
        <f>CLEAN("7829-00-70")</f>
        <v>7829-00-70</v>
      </c>
      <c r="E1723" s="3" t="str">
        <f>CLEAN("T CLEAR CREEK  E BUNTING ROAD")</f>
        <v>T CLEAR CREEK  E BUNTING ROAD</v>
      </c>
      <c r="F1723" s="3" t="str">
        <f>CLEAN("PINE CREEK BRIDGE B-18-0242")</f>
        <v>PINE CREEK BRIDGE B-18-0242</v>
      </c>
      <c r="G1723" s="3" t="str">
        <f>CLEAN("CONSTRUCTION/BRIDGE REPLACEMENT")</f>
        <v>CONSTRUCTION/BRIDGE REPLACEMENT</v>
      </c>
      <c r="H1723" s="2" t="str">
        <f>CLEAN("LOC STR")</f>
        <v>LOC STR</v>
      </c>
      <c r="I1723" s="2" t="str">
        <f t="shared" si="278"/>
        <v>205</v>
      </c>
    </row>
    <row r="1724" spans="1:9" x14ac:dyDescent="0.35">
      <c r="A1724" s="2" t="str">
        <f t="shared" si="276"/>
        <v>EAU CLAIRE</v>
      </c>
      <c r="B1724" s="2" t="str">
        <f t="shared" si="275"/>
        <v>EAU CLAIRE COUNTY</v>
      </c>
      <c r="C1724" s="2" t="s">
        <v>1232</v>
      </c>
      <c r="D1724" s="2" t="str">
        <f>CLEAN("7830-00-72")</f>
        <v>7830-00-72</v>
      </c>
      <c r="E1724" s="3" t="str">
        <f>CLEAN("FOSTER - AUGUSTA")</f>
        <v>FOSTER - AUGUSTA</v>
      </c>
      <c r="F1724" s="3" t="str">
        <f>CLEAN("BEARS GRASS CREEK BRIDGE B-18-0256")</f>
        <v>BEARS GRASS CREEK BRIDGE B-18-0256</v>
      </c>
      <c r="G1724" s="3" t="str">
        <f>CLEAN("CONSTRUCTION/BRRPL")</f>
        <v>CONSTRUCTION/BRRPL</v>
      </c>
      <c r="H1724" s="2" t="str">
        <f>CLEAN("CTH VV")</f>
        <v>CTH VV</v>
      </c>
      <c r="I1724" s="2" t="str">
        <f t="shared" si="278"/>
        <v>205</v>
      </c>
    </row>
    <row r="1725" spans="1:9" x14ac:dyDescent="0.35">
      <c r="A1725" s="2" t="str">
        <f t="shared" si="276"/>
        <v>EAU CLAIRE</v>
      </c>
      <c r="B1725" s="2" t="str">
        <f t="shared" si="275"/>
        <v>EAU CLAIRE COUNTY</v>
      </c>
      <c r="C1725" s="2" t="s">
        <v>2046</v>
      </c>
      <c r="D1725" s="2" t="str">
        <f>CLEAN("7831-06-00")</f>
        <v>7831-06-00</v>
      </c>
      <c r="E1725" s="3" t="str">
        <f>CLEAN("SCL - USH 12")</f>
        <v>SCL - USH 12</v>
      </c>
      <c r="F1725" s="3" t="str">
        <f>CLEAN("SCL TO LANGE ROAD")</f>
        <v>SCL TO LANGE ROAD</v>
      </c>
      <c r="G1725" s="3" t="str">
        <f>CLEAN("DESIGN/PAVEMENT REPLACEMENT")</f>
        <v>DESIGN/PAVEMENT REPLACEMENT</v>
      </c>
      <c r="H1725" s="2" t="str">
        <f>CLEAN("CTH M")</f>
        <v>CTH M</v>
      </c>
      <c r="I1725" s="2" t="str">
        <f>CLEAN("206")</f>
        <v>206</v>
      </c>
    </row>
    <row r="1726" spans="1:9" x14ac:dyDescent="0.35">
      <c r="A1726" s="2" t="str">
        <f t="shared" si="276"/>
        <v>EAU CLAIRE</v>
      </c>
      <c r="B1726" s="2" t="str">
        <f t="shared" si="275"/>
        <v>EAU CLAIRE COUNTY</v>
      </c>
      <c r="C1726" s="2" t="s">
        <v>1295</v>
      </c>
      <c r="D1726" s="2" t="str">
        <f>CLEAN("7831-06-70")</f>
        <v>7831-06-70</v>
      </c>
      <c r="E1726" s="3" t="str">
        <f>CLEAN("SCL - USH 12")</f>
        <v>SCL - USH 12</v>
      </c>
      <c r="F1726" s="3" t="str">
        <f>CLEAN("SCL TO LANGE ROAD")</f>
        <v>SCL TO LANGE ROAD</v>
      </c>
      <c r="G1726" s="3" t="str">
        <f>CLEAN("CONSTRUCTION/PAVEMENT REPLACEMENT")</f>
        <v>CONSTRUCTION/PAVEMENT REPLACEMENT</v>
      </c>
      <c r="H1726" s="2" t="str">
        <f>CLEAN("CTH M")</f>
        <v>CTH M</v>
      </c>
      <c r="I1726" s="2" t="str">
        <f>CLEAN("206")</f>
        <v>206</v>
      </c>
    </row>
    <row r="1727" spans="1:9" x14ac:dyDescent="0.35">
      <c r="A1727" s="2" t="str">
        <f t="shared" si="276"/>
        <v>EAU CLAIRE</v>
      </c>
      <c r="B1727" s="2" t="str">
        <f t="shared" si="275"/>
        <v>EAU CLAIRE COUNTY</v>
      </c>
      <c r="C1727" s="2" t="s">
        <v>1237</v>
      </c>
      <c r="D1727" s="2" t="str">
        <f>CLEAN("7831-07-70")</f>
        <v>7831-07-70</v>
      </c>
      <c r="E1727" s="3" t="str">
        <f>CLEAN("CTH AF - STH 27")</f>
        <v>CTH AF - STH 27</v>
      </c>
      <c r="F1727" s="3" t="str">
        <f>CLEAN("BRIDGE CREEK BRIDGE B-18-0238")</f>
        <v>BRIDGE CREEK BRIDGE B-18-0238</v>
      </c>
      <c r="G1727" s="3" t="str">
        <f>CLEAN("CONSTRUCTION/BRRPL")</f>
        <v>CONSTRUCTION/BRRPL</v>
      </c>
      <c r="H1727" s="2" t="str">
        <f>CLEAN("CTH V")</f>
        <v>CTH V</v>
      </c>
      <c r="I1727" s="2" t="str">
        <f>CLEAN("205")</f>
        <v>205</v>
      </c>
    </row>
    <row r="1728" spans="1:9" x14ac:dyDescent="0.35">
      <c r="A1728" s="2" t="str">
        <f t="shared" si="276"/>
        <v>EAU CLAIRE</v>
      </c>
      <c r="B1728" s="2" t="str">
        <f t="shared" si="275"/>
        <v>EAU CLAIRE COUNTY</v>
      </c>
      <c r="C1728" s="2" t="s">
        <v>2251</v>
      </c>
      <c r="D1728" s="2" t="str">
        <f>CLEAN("7995-02-62")</f>
        <v>7995-02-62</v>
      </c>
      <c r="E1728" s="3" t="str">
        <f>CLEAN("C EAU CLAIRE  STATE ST/CTH F")</f>
        <v>C EAU CLAIRE  STATE ST/CTH F</v>
      </c>
      <c r="F1728" s="3" t="str">
        <f>CLEAN("HEATHER ROAD TO HAMILTON AVE")</f>
        <v>HEATHER ROAD TO HAMILTON AVE</v>
      </c>
      <c r="G1728" s="3" t="str">
        <f>CLEAN("DESIGN/RECONSTRUCT")</f>
        <v>DESIGN/RECONSTRUCT</v>
      </c>
      <c r="H1728" s="2" t="str">
        <f>CLEAN("CTH F")</f>
        <v>CTH F</v>
      </c>
      <c r="I1728" s="2" t="str">
        <f>CLEAN("206")</f>
        <v>206</v>
      </c>
    </row>
    <row r="1729" spans="1:9" x14ac:dyDescent="0.35">
      <c r="A1729" s="2" t="str">
        <f t="shared" si="276"/>
        <v>EAU CLAIRE</v>
      </c>
      <c r="B1729" s="2" t="str">
        <f t="shared" si="275"/>
        <v>EAU CLAIRE COUNTY</v>
      </c>
      <c r="C1729" s="2" t="s">
        <v>1321</v>
      </c>
      <c r="D1729" s="2" t="str">
        <f>CLEAN("7995-02-63")</f>
        <v>7995-02-63</v>
      </c>
      <c r="E1729" s="3" t="str">
        <f>CLEAN("C EAU CLAIRE  STATE ST/CTH F")</f>
        <v>C EAU CLAIRE  STATE ST/CTH F</v>
      </c>
      <c r="F1729" s="3" t="str">
        <f>CLEAN("HEATHER ROAD TO HAMILTON AVE")</f>
        <v>HEATHER ROAD TO HAMILTON AVE</v>
      </c>
      <c r="G1729" s="3" t="str">
        <f>CLEAN("CONSTRUCTION/RECONSTRUCT")</f>
        <v>CONSTRUCTION/RECONSTRUCT</v>
      </c>
      <c r="H1729" s="2" t="str">
        <f>CLEAN("CTH F")</f>
        <v>CTH F</v>
      </c>
      <c r="I1729" s="2" t="str">
        <f>CLEAN("206")</f>
        <v>206</v>
      </c>
    </row>
    <row r="1730" spans="1:9" x14ac:dyDescent="0.35">
      <c r="A1730" s="2" t="str">
        <f t="shared" si="276"/>
        <v>EAU CLAIRE</v>
      </c>
      <c r="B1730" s="2" t="str">
        <f t="shared" si="275"/>
        <v>EAU CLAIRE COUNTY</v>
      </c>
      <c r="C1730" s="2" t="s">
        <v>2280</v>
      </c>
      <c r="D1730" s="2" t="str">
        <f>CLEAN("7995-02-83")</f>
        <v>7995-02-83</v>
      </c>
      <c r="E1730" s="3" t="str">
        <f>CLEAN("C EAUCLAIRE  BIRCH ST &amp; MCKINLEY RD")</f>
        <v>C EAUCLAIRE  BIRCH ST &amp; MCKINLEY RD</v>
      </c>
      <c r="F1730" s="3" t="str">
        <f>CLEAN("RIVER PRAIRIE DRIVE TO STH 312")</f>
        <v>RIVER PRAIRIE DRIVE TO STH 312</v>
      </c>
      <c r="G1730" s="3" t="str">
        <f>CLEAN("DESIGN/SAFE ROUTES TO SCHOOL-TAP")</f>
        <v>DESIGN/SAFE ROUTES TO SCHOOL-TAP</v>
      </c>
      <c r="H1730" s="2" t="str">
        <f>CLEAN("LOC STR")</f>
        <v>LOC STR</v>
      </c>
      <c r="I1730" s="2" t="str">
        <f>CLEAN("290")</f>
        <v>290</v>
      </c>
    </row>
    <row r="1731" spans="1:9" x14ac:dyDescent="0.35">
      <c r="A1731" s="2" t="str">
        <f>CLEAN("MARINETTE")</f>
        <v>MARINETTE</v>
      </c>
      <c r="B1731" s="2" t="str">
        <f>CLEAN("ESCANABA &amp; LAKE SUPERIOR RR CO")</f>
        <v>ESCANABA &amp; LAKE SUPERIOR RR CO</v>
      </c>
      <c r="C1731" s="2" t="s">
        <v>3234</v>
      </c>
      <c r="D1731" s="2" t="str">
        <f>CLEAN("1490-40-50")</f>
        <v>1490-40-50</v>
      </c>
      <c r="E1731" s="3" t="str">
        <f>CLEAN("USH 141  V CRIVITZ")</f>
        <v>USH 141  V CRIVITZ</v>
      </c>
      <c r="F1731" s="3" t="str">
        <f>CLEAN("E&amp;LS RR XING SURFACE REHAB 388542H")</f>
        <v>E&amp;LS RR XING SURFACE REHAB 388542H</v>
      </c>
      <c r="G1731" s="3" t="str">
        <f>CLEAN("RR OPS/MISC")</f>
        <v>RR OPS/MISC</v>
      </c>
      <c r="H1731" s="2" t="str">
        <f>CLEAN("USH 141")</f>
        <v>USH 141</v>
      </c>
      <c r="I1731" s="2" t="str">
        <f>CLEAN("303")</f>
        <v>303</v>
      </c>
    </row>
    <row r="1732" spans="1:9" x14ac:dyDescent="0.35">
      <c r="A1732" s="2" t="str">
        <f>CLEAN("MARINETTE")</f>
        <v>MARINETTE</v>
      </c>
      <c r="B1732" s="2" t="str">
        <f>CLEAN("ESCANABA &amp; LAKE SUPERIOR RR CO")</f>
        <v>ESCANABA &amp; LAKE SUPERIOR RR CO</v>
      </c>
      <c r="C1732" s="2" t="s">
        <v>3251</v>
      </c>
      <c r="D1732" s="2" t="str">
        <f>CLEAN("9670-18-50")</f>
        <v>9670-18-50</v>
      </c>
      <c r="E1732" s="3" t="str">
        <f>CLEAN("MARINETTE - WAUSAUKEE")</f>
        <v>MARINETTE - WAUSAUKEE</v>
      </c>
      <c r="F1732" s="3" t="str">
        <f>CLEAN("389905C XING REMOVAL/KC SPUR TRACK")</f>
        <v>389905C XING REMOVAL/KC SPUR TRACK</v>
      </c>
      <c r="G1732" s="3" t="str">
        <f>CLEAN("RR OPS/RR CROSSING REPAIR")</f>
        <v>RR OPS/RR CROSSING REPAIR</v>
      </c>
      <c r="H1732" s="2" t="str">
        <f>CLEAN("STH 180")</f>
        <v>STH 180</v>
      </c>
      <c r="I1732" s="2" t="str">
        <f>CLEAN("303")</f>
        <v>303</v>
      </c>
    </row>
    <row r="1733" spans="1:9" x14ac:dyDescent="0.35">
      <c r="A1733" s="2" t="str">
        <f>CLEAN("MARINETTE")</f>
        <v>MARINETTE</v>
      </c>
      <c r="B1733" s="2" t="str">
        <f>CLEAN("ESCANABA &amp; LAKE SUPERIOR RR CO")</f>
        <v>ESCANABA &amp; LAKE SUPERIOR RR CO</v>
      </c>
      <c r="C1733" s="2" t="s">
        <v>1011</v>
      </c>
      <c r="D1733" s="2" t="str">
        <f>CLEAN("9995-05-74")</f>
        <v>9995-05-74</v>
      </c>
      <c r="E1733" s="3" t="str">
        <f>CLEAN("C MARINETTE  MADISON AVENUE")</f>
        <v>C MARINETTE  MADISON AVENUE</v>
      </c>
      <c r="F1733" s="3" t="str">
        <f>CLEAN("MADISON AVE RR XING 181615P SURFACE")</f>
        <v>MADISON AVE RR XING 181615P SURFACE</v>
      </c>
      <c r="G1733" s="3" t="str">
        <f>CLEAN("CONST/RR CROSSING REPAIR")</f>
        <v>CONST/RR CROSSING REPAIR</v>
      </c>
      <c r="H1733" s="2" t="str">
        <f>CLEAN("LOC STR")</f>
        <v>LOC STR</v>
      </c>
      <c r="I1733" s="2" t="str">
        <f>CLEAN("207")</f>
        <v>207</v>
      </c>
    </row>
    <row r="1734" spans="1:9" x14ac:dyDescent="0.35">
      <c r="A1734" s="2" t="str">
        <f>CLEAN("FLORENCE")</f>
        <v>FLORENCE</v>
      </c>
      <c r="B1734" s="2" t="str">
        <f>CLEAN("FLORENCE COUNTY")</f>
        <v>FLORENCE COUNTY</v>
      </c>
      <c r="C1734" s="2" t="s">
        <v>1896</v>
      </c>
      <c r="D1734" s="2" t="str">
        <f>CLEAN("9324-12-03")</f>
        <v>9324-12-03</v>
      </c>
      <c r="E1734" s="3" t="str">
        <f>CLEAN("CTH U - COUNTY LINE")</f>
        <v>CTH U - COUNTY LINE</v>
      </c>
      <c r="F1734" s="3" t="str">
        <f>CLEAN("MENOMINEE RIVER BRIDGE  B-19-0003")</f>
        <v>MENOMINEE RIVER BRIDGE  B-19-0003</v>
      </c>
      <c r="G1734" s="3" t="str">
        <f>CLEAN("DESIGN/FULL PSE/DECK REPLACEMENT")</f>
        <v>DESIGN/FULL PSE/DECK REPLACEMENT</v>
      </c>
      <c r="H1734" s="2" t="str">
        <f>CLEAN("CTH N")</f>
        <v>CTH N</v>
      </c>
      <c r="I1734" s="2" t="str">
        <f>CLEAN("205")</f>
        <v>205</v>
      </c>
    </row>
    <row r="1735" spans="1:9" x14ac:dyDescent="0.35">
      <c r="A1735" s="2" t="str">
        <f t="shared" ref="A1735:A1754" si="279">CLEAN("FOND DU LAC")</f>
        <v>FOND DU LAC</v>
      </c>
      <c r="B1735" s="2" t="str">
        <f t="shared" ref="B1735:B1754" si="280">CLEAN("FOND DU LAC COUNTY")</f>
        <v>FOND DU LAC COUNTY</v>
      </c>
      <c r="C1735" s="2" t="s">
        <v>557</v>
      </c>
      <c r="D1735" s="2" t="str">
        <f>CLEAN("1440-15-71")</f>
        <v>1440-15-71</v>
      </c>
      <c r="E1735" s="3" t="str">
        <f>CLEAN("FOND DU LAC - PLYMOUTH")</f>
        <v>FOND DU LAC - PLYMOUTH</v>
      </c>
      <c r="F1735" s="3" t="str">
        <f>CLEAN("USH 151-SEVEN HILLS ROAD")</f>
        <v>USH 151-SEVEN HILLS ROAD</v>
      </c>
      <c r="G1735" s="3" t="str">
        <f>CLEAN("CONST/GRADE/BASE/PAVE    R/W-YES")</f>
        <v>CONST/GRADE/BASE/PAVE    R/W-YES</v>
      </c>
      <c r="H1735" s="2" t="str">
        <f>CLEAN("STH 023")</f>
        <v>STH 023</v>
      </c>
      <c r="I1735" s="2" t="str">
        <f>CLEAN("302")</f>
        <v>302</v>
      </c>
    </row>
    <row r="1736" spans="1:9" x14ac:dyDescent="0.35">
      <c r="A1736" s="2" t="str">
        <f t="shared" si="279"/>
        <v>FOND DU LAC</v>
      </c>
      <c r="B1736" s="2" t="str">
        <f t="shared" si="280"/>
        <v>FOND DU LAC COUNTY</v>
      </c>
      <c r="C1736" s="2" t="s">
        <v>2487</v>
      </c>
      <c r="D1736" s="2" t="str">
        <f>CLEAN("3823-03-00")</f>
        <v>3823-03-00</v>
      </c>
      <c r="E1736" s="3" t="str">
        <f>CLEAN("OAKFIELD - FOND DU LAC")</f>
        <v>OAKFIELD - FOND DU LAC</v>
      </c>
      <c r="F1736" s="3" t="str">
        <f>CLEAN("CTH D TO CTH B")</f>
        <v>CTH D TO CTH B</v>
      </c>
      <c r="G1736" s="3" t="str">
        <f>CLEAN("DSN/FULL PSE/RESCT")</f>
        <v>DSN/FULL PSE/RESCT</v>
      </c>
      <c r="H1736" s="2" t="str">
        <f>CLEAN("CTH Y")</f>
        <v>CTH Y</v>
      </c>
      <c r="I1736" s="2" t="str">
        <f>CLEAN("206")</f>
        <v>206</v>
      </c>
    </row>
    <row r="1737" spans="1:9" x14ac:dyDescent="0.35">
      <c r="A1737" s="2" t="str">
        <f t="shared" si="279"/>
        <v>FOND DU LAC</v>
      </c>
      <c r="B1737" s="2" t="str">
        <f t="shared" si="280"/>
        <v>FOND DU LAC COUNTY</v>
      </c>
      <c r="C1737" s="2" t="s">
        <v>2374</v>
      </c>
      <c r="D1737" s="2" t="str">
        <f>CLEAN("3865-02-00")</f>
        <v>3865-02-00</v>
      </c>
      <c r="E1737" s="3" t="str">
        <f>CLEAN("C FOND DU LAC  ROGERSVILLE ROAD")</f>
        <v>C FOND DU LAC  ROGERSVILLE ROAD</v>
      </c>
      <c r="F1737" s="3" t="str">
        <f>CLEAN("W BRANCH FOND DU LAC RIVER BRIDGE")</f>
        <v>W BRANCH FOND DU LAC RIVER BRIDGE</v>
      </c>
      <c r="G1737" s="3" t="str">
        <f>CLEAN("DSGN/FULL PSE/BRRPL/P-20-0051")</f>
        <v>DSGN/FULL PSE/BRRPL/P-20-0051</v>
      </c>
      <c r="H1737" s="2" t="str">
        <f>CLEAN("LOC STR")</f>
        <v>LOC STR</v>
      </c>
      <c r="I1737" s="2" t="str">
        <f>CLEAN("205")</f>
        <v>205</v>
      </c>
    </row>
    <row r="1738" spans="1:9" x14ac:dyDescent="0.35">
      <c r="A1738" s="2" t="str">
        <f t="shared" si="279"/>
        <v>FOND DU LAC</v>
      </c>
      <c r="B1738" s="2" t="str">
        <f t="shared" si="280"/>
        <v>FOND DU LAC COUNTY</v>
      </c>
      <c r="C1738" s="2" t="s">
        <v>2450</v>
      </c>
      <c r="D1738" s="2" t="str">
        <f>CLEAN("4810-02-00")</f>
        <v>4810-02-00</v>
      </c>
      <c r="E1738" s="3" t="str">
        <f>CLEAN("T CALUMET  CTH W")</f>
        <v>T CALUMET  CTH W</v>
      </c>
      <c r="F1738" s="3" t="str">
        <f>CLEAN("TRIBUTE - PIPE CREEK BRIDGE P200925")</f>
        <v>TRIBUTE - PIPE CREEK BRIDGE P200925</v>
      </c>
      <c r="G1738" s="3" t="str">
        <f>CLEAN("DSN/FULL PSE/BRRPL")</f>
        <v>DSN/FULL PSE/BRRPL</v>
      </c>
      <c r="H1738" s="2" t="str">
        <f>CLEAN("CTH W")</f>
        <v>CTH W</v>
      </c>
      <c r="I1738" s="2" t="str">
        <f>CLEAN("205")</f>
        <v>205</v>
      </c>
    </row>
    <row r="1739" spans="1:9" x14ac:dyDescent="0.35">
      <c r="A1739" s="2" t="str">
        <f t="shared" si="279"/>
        <v>FOND DU LAC</v>
      </c>
      <c r="B1739" s="2" t="str">
        <f t="shared" si="280"/>
        <v>FOND DU LAC COUNTY</v>
      </c>
      <c r="C1739" s="2" t="s">
        <v>146</v>
      </c>
      <c r="D1739" s="2" t="str">
        <f>CLEAN("4810-02-71")</f>
        <v>4810-02-71</v>
      </c>
      <c r="E1739" s="3" t="str">
        <f>CLEAN("T CALUMET  CTH W")</f>
        <v>T CALUMET  CTH W</v>
      </c>
      <c r="F1739" s="3" t="str">
        <f>CLEAN("TRIBUTE - PIPE CREEK BRIDGE P200925")</f>
        <v>TRIBUTE - PIPE CREEK BRIDGE P200925</v>
      </c>
      <c r="G1739" s="3" t="str">
        <f>CLEAN("CONST OPS/BRRPL")</f>
        <v>CONST OPS/BRRPL</v>
      </c>
      <c r="H1739" s="2" t="str">
        <f>CLEAN("CTH W")</f>
        <v>CTH W</v>
      </c>
      <c r="I1739" s="2" t="str">
        <f>CLEAN("205")</f>
        <v>205</v>
      </c>
    </row>
    <row r="1740" spans="1:9" x14ac:dyDescent="0.35">
      <c r="A1740" s="2" t="str">
        <f t="shared" si="279"/>
        <v>FOND DU LAC</v>
      </c>
      <c r="B1740" s="2" t="str">
        <f t="shared" si="280"/>
        <v>FOND DU LAC COUNTY</v>
      </c>
      <c r="C1740" s="2" t="s">
        <v>2451</v>
      </c>
      <c r="D1740" s="2" t="str">
        <f>CLEAN("4812-00-00")</f>
        <v>4812-00-00</v>
      </c>
      <c r="E1740" s="3" t="str">
        <f>CLEAN("FOND DU LAC CO  CTH K")</f>
        <v>FOND DU LAC CO  CTH K</v>
      </c>
      <c r="F1740" s="3" t="str">
        <f>CLEAN("TAYCHEEDAH CREEK BRIDGE")</f>
        <v>TAYCHEEDAH CREEK BRIDGE</v>
      </c>
      <c r="G1740" s="3" t="str">
        <f>CLEAN("DSN/FULL PSE/BRRPL B-20-0015")</f>
        <v>DSN/FULL PSE/BRRPL B-20-0015</v>
      </c>
      <c r="H1740" s="2" t="str">
        <f>CLEAN("CTH K")</f>
        <v>CTH K</v>
      </c>
      <c r="I1740" s="2" t="str">
        <f>CLEAN("205")</f>
        <v>205</v>
      </c>
    </row>
    <row r="1741" spans="1:9" x14ac:dyDescent="0.35">
      <c r="A1741" s="2" t="str">
        <f t="shared" si="279"/>
        <v>FOND DU LAC</v>
      </c>
      <c r="B1741" s="2" t="str">
        <f t="shared" si="280"/>
        <v>FOND DU LAC COUNTY</v>
      </c>
      <c r="C1741" s="2" t="s">
        <v>151</v>
      </c>
      <c r="D1741" s="2" t="str">
        <f>CLEAN("4812-00-01")</f>
        <v>4812-00-01</v>
      </c>
      <c r="E1741" s="3" t="str">
        <f>CLEAN("FOND DU LAC CO  CTH K")</f>
        <v>FOND DU LAC CO  CTH K</v>
      </c>
      <c r="F1741" s="3" t="str">
        <f>CLEAN("TAYCHEEDAH CREEK BRIDGE")</f>
        <v>TAYCHEEDAH CREEK BRIDGE</v>
      </c>
      <c r="G1741" s="3" t="str">
        <f>CLEAN("CONST OPS/BRRPL B-20-0265")</f>
        <v>CONST OPS/BRRPL B-20-0265</v>
      </c>
      <c r="H1741" s="2" t="str">
        <f>CLEAN("CTH K")</f>
        <v>CTH K</v>
      </c>
      <c r="I1741" s="2" t="str">
        <f>CLEAN("205")</f>
        <v>205</v>
      </c>
    </row>
    <row r="1742" spans="1:9" x14ac:dyDescent="0.35">
      <c r="A1742" s="2" t="str">
        <f t="shared" si="279"/>
        <v>FOND DU LAC</v>
      </c>
      <c r="B1742" s="2" t="str">
        <f t="shared" si="280"/>
        <v>FOND DU LAC COUNTY</v>
      </c>
      <c r="C1742" s="2" t="s">
        <v>274</v>
      </c>
      <c r="D1742" s="2" t="str">
        <f>CLEAN("4831-05-71")</f>
        <v>4831-05-71</v>
      </c>
      <c r="E1742" s="3" t="str">
        <f>CLEAN("C FOND DU LAC  CTH VV")</f>
        <v>C FOND DU LAC  CTH VV</v>
      </c>
      <c r="F1742" s="3" t="str">
        <f>CLEAN("CTH V TO MARTIN AVENUE")</f>
        <v>CTH V TO MARTIN AVENUE</v>
      </c>
      <c r="G1742" s="3" t="str">
        <f>CLEAN("CONST OPS/RECST")</f>
        <v>CONST OPS/RECST</v>
      </c>
      <c r="H1742" s="2" t="str">
        <f>CLEAN("CTH VV")</f>
        <v>CTH VV</v>
      </c>
      <c r="I1742" s="2" t="str">
        <f>CLEAN("206")</f>
        <v>206</v>
      </c>
    </row>
    <row r="1743" spans="1:9" x14ac:dyDescent="0.35">
      <c r="A1743" s="2" t="str">
        <f t="shared" si="279"/>
        <v>FOND DU LAC</v>
      </c>
      <c r="B1743" s="2" t="str">
        <f t="shared" si="280"/>
        <v>FOND DU LAC COUNTY</v>
      </c>
      <c r="C1743" s="2" t="s">
        <v>3253</v>
      </c>
      <c r="D1743" s="2" t="str">
        <f>CLEAN("4831-06-50")</f>
        <v>4831-06-50</v>
      </c>
      <c r="E1743" s="3" t="str">
        <f>CLEAN("C FOND DU LAC  PIONEER RD")</f>
        <v>C FOND DU LAC  PIONEER RD</v>
      </c>
      <c r="F1743" s="3" t="str">
        <f>CLEAN("WSOR 179034S XING SURFACE EDEN SPUR")</f>
        <v>WSOR 179034S XING SURFACE EDEN SPUR</v>
      </c>
      <c r="G1743" s="3" t="str">
        <f>CLEAN("RR OPS/RR CROSSING REPAIR")</f>
        <v>RR OPS/RR CROSSING REPAIR</v>
      </c>
      <c r="H1743" s="2" t="str">
        <f>CLEAN("CTH VV")</f>
        <v>CTH VV</v>
      </c>
      <c r="I1743" s="2" t="str">
        <f>CLEAN("206")</f>
        <v>206</v>
      </c>
    </row>
    <row r="1744" spans="1:9" x14ac:dyDescent="0.35">
      <c r="A1744" s="2" t="str">
        <f t="shared" si="279"/>
        <v>FOND DU LAC</v>
      </c>
      <c r="B1744" s="2" t="str">
        <f t="shared" si="280"/>
        <v>FOND DU LAC COUNTY</v>
      </c>
      <c r="C1744" s="2" t="s">
        <v>3252</v>
      </c>
      <c r="D1744" s="2" t="str">
        <f>CLEAN("4831-06-51")</f>
        <v>4831-06-51</v>
      </c>
      <c r="E1744" s="3" t="str">
        <f>CLEAN("C FOND DU LAC  PIONEER RD")</f>
        <v>C FOND DU LAC  PIONEER RD</v>
      </c>
      <c r="F1744" s="3" t="str">
        <f>CLEAN("WSOR 179034S SIGNAL/GATES EDEN SPUR")</f>
        <v>WSOR 179034S SIGNAL/GATES EDEN SPUR</v>
      </c>
      <c r="G1744" s="3" t="str">
        <f>CLEAN("RR OPS/RR CROSSING REPAIR")</f>
        <v>RR OPS/RR CROSSING REPAIR</v>
      </c>
      <c r="H1744" s="2" t="str">
        <f>CLEAN("CTH VV")</f>
        <v>CTH VV</v>
      </c>
      <c r="I1744" s="2" t="str">
        <f>CLEAN("206")</f>
        <v>206</v>
      </c>
    </row>
    <row r="1745" spans="1:9" x14ac:dyDescent="0.35">
      <c r="A1745" s="2" t="str">
        <f t="shared" si="279"/>
        <v>FOND DU LAC</v>
      </c>
      <c r="B1745" s="2" t="str">
        <f t="shared" si="280"/>
        <v>FOND DU LAC COUNTY</v>
      </c>
      <c r="C1745" s="2" t="s">
        <v>2486</v>
      </c>
      <c r="D1745" s="2" t="str">
        <f>CLEAN("4831-06-72")</f>
        <v>4831-06-72</v>
      </c>
      <c r="E1745" s="3" t="str">
        <f>CLEAN("FOND DU LAC  PIONEER RD")</f>
        <v>FOND DU LAC  PIONEER RD</v>
      </c>
      <c r="F1745" s="3" t="str">
        <f>CLEAN("WOODBINE PARK RD - PARK AVENUE")</f>
        <v>WOODBINE PARK RD - PARK AVENUE</v>
      </c>
      <c r="G1745" s="3" t="str">
        <f>CLEAN("DSN/FULL PSE/RECST")</f>
        <v>DSN/FULL PSE/RECST</v>
      </c>
      <c r="H1745" s="2" t="str">
        <f>CLEAN("CTH VV")</f>
        <v>CTH VV</v>
      </c>
      <c r="I1745" s="2" t="str">
        <f>CLEAN("206")</f>
        <v>206</v>
      </c>
    </row>
    <row r="1746" spans="1:9" x14ac:dyDescent="0.35">
      <c r="A1746" s="2" t="str">
        <f t="shared" si="279"/>
        <v>FOND DU LAC</v>
      </c>
      <c r="B1746" s="2" t="str">
        <f t="shared" si="280"/>
        <v>FOND DU LAC COUNTY</v>
      </c>
      <c r="C1746" s="2" t="s">
        <v>288</v>
      </c>
      <c r="D1746" s="2" t="str">
        <f>CLEAN("4831-06-73")</f>
        <v>4831-06-73</v>
      </c>
      <c r="E1746" s="3" t="str">
        <f>CLEAN("FOND DU LAC CO  PIONEER ROAD")</f>
        <v>FOND DU LAC CO  PIONEER ROAD</v>
      </c>
      <c r="F1746" s="3" t="str">
        <f>CLEAN("WOODBINE PARK RD TO PARK AVENUE")</f>
        <v>WOODBINE PARK RD TO PARK AVENUE</v>
      </c>
      <c r="G1746" s="3" t="str">
        <f>CLEAN("CONST OPS/RECST")</f>
        <v>CONST OPS/RECST</v>
      </c>
      <c r="H1746" s="2" t="str">
        <f>CLEAN("CTH VV")</f>
        <v>CTH VV</v>
      </c>
      <c r="I1746" s="2" t="str">
        <f>CLEAN("206")</f>
        <v>206</v>
      </c>
    </row>
    <row r="1747" spans="1:9" x14ac:dyDescent="0.35">
      <c r="A1747" s="2" t="str">
        <f t="shared" si="279"/>
        <v>FOND DU LAC</v>
      </c>
      <c r="B1747" s="2" t="str">
        <f t="shared" si="280"/>
        <v>FOND DU LAC COUNTY</v>
      </c>
      <c r="C1747" s="2" t="s">
        <v>2362</v>
      </c>
      <c r="D1747" s="2" t="str">
        <f>CLEAN("4837-00-00")</f>
        <v>4837-00-00</v>
      </c>
      <c r="E1747" s="3" t="str">
        <f>CLEAN("T MARSHFIELD  CTH CCC")</f>
        <v>T MARSHFIELD  CTH CCC</v>
      </c>
      <c r="F1747" s="3" t="str">
        <f>CLEAN("SHEBOYGAN RIVER BRIDGE")</f>
        <v>SHEBOYGAN RIVER BRIDGE</v>
      </c>
      <c r="G1747" s="3" t="str">
        <f>CLEAN("DSGN/FULL PSE/BRRPL B-20-0045")</f>
        <v>DSGN/FULL PSE/BRRPL B-20-0045</v>
      </c>
      <c r="H1747" s="2" t="str">
        <f>CLEAN("CTH CCC")</f>
        <v>CTH CCC</v>
      </c>
      <c r="I1747" s="2" t="str">
        <f t="shared" ref="I1747:I1752" si="281">CLEAN("205")</f>
        <v>205</v>
      </c>
    </row>
    <row r="1748" spans="1:9" x14ac:dyDescent="0.35">
      <c r="A1748" s="2" t="str">
        <f t="shared" si="279"/>
        <v>FOND DU LAC</v>
      </c>
      <c r="B1748" s="2" t="str">
        <f t="shared" si="280"/>
        <v>FOND DU LAC COUNTY</v>
      </c>
      <c r="C1748" s="2" t="s">
        <v>2379</v>
      </c>
      <c r="D1748" s="2" t="str">
        <f>CLEAN("4840-00-00")</f>
        <v>4840-00-00</v>
      </c>
      <c r="E1748" s="3" t="str">
        <f>CLEAN("T EMPIRE  CTH T")</f>
        <v>T EMPIRE  CTH T</v>
      </c>
      <c r="F1748" s="3" t="str">
        <f>CLEAN("TAYCHEEDAH CREEK BRIDGE")</f>
        <v>TAYCHEEDAH CREEK BRIDGE</v>
      </c>
      <c r="G1748" s="3" t="str">
        <f>CLEAN("DSGN/FULL PSE/BRRRPL")</f>
        <v>DSGN/FULL PSE/BRRRPL</v>
      </c>
      <c r="H1748" s="2" t="str">
        <f>CLEAN("CTH T")</f>
        <v>CTH T</v>
      </c>
      <c r="I1748" s="2" t="str">
        <f t="shared" si="281"/>
        <v>205</v>
      </c>
    </row>
    <row r="1749" spans="1:9" x14ac:dyDescent="0.35">
      <c r="A1749" s="2" t="str">
        <f t="shared" si="279"/>
        <v>FOND DU LAC</v>
      </c>
      <c r="B1749" s="2" t="str">
        <f t="shared" si="280"/>
        <v>FOND DU LAC COUNTY</v>
      </c>
      <c r="C1749" s="2" t="s">
        <v>161</v>
      </c>
      <c r="D1749" s="2" t="str">
        <f>CLEAN("4840-00-71")</f>
        <v>4840-00-71</v>
      </c>
      <c r="E1749" s="3" t="str">
        <f>CLEAN("T EMPIRE  CTH T")</f>
        <v>T EMPIRE  CTH T</v>
      </c>
      <c r="F1749" s="3" t="str">
        <f>CLEAN("TAYCHEEDAH CREEK BRIDGE")</f>
        <v>TAYCHEEDAH CREEK BRIDGE</v>
      </c>
      <c r="G1749" s="3" t="str">
        <f>CLEAN("CONST OPS/BRRPL/B20-00254")</f>
        <v>CONST OPS/BRRPL/B20-00254</v>
      </c>
      <c r="H1749" s="2" t="str">
        <f>CLEAN("CTH T")</f>
        <v>CTH T</v>
      </c>
      <c r="I1749" s="2" t="str">
        <f t="shared" si="281"/>
        <v>205</v>
      </c>
    </row>
    <row r="1750" spans="1:9" x14ac:dyDescent="0.35">
      <c r="A1750" s="2" t="str">
        <f t="shared" si="279"/>
        <v>FOND DU LAC</v>
      </c>
      <c r="B1750" s="2" t="str">
        <f t="shared" si="280"/>
        <v>FOND DU LAC COUNTY</v>
      </c>
      <c r="C1750" s="2" t="s">
        <v>2358</v>
      </c>
      <c r="D1750" s="2" t="str">
        <f>CLEAN("4840-01-00")</f>
        <v>4840-01-00</v>
      </c>
      <c r="E1750" s="3" t="str">
        <f>CLEAN("T EMPIRE  CTH T")</f>
        <v>T EMPIRE  CTH T</v>
      </c>
      <c r="F1750" s="3" t="str">
        <f>CLEAN("TAYCHEEDAH CREEK BRIDGE")</f>
        <v>TAYCHEEDAH CREEK BRIDGE</v>
      </c>
      <c r="G1750" s="3" t="str">
        <f>CLEAN("DSGN/FULL PSE/BRRPL")</f>
        <v>DSGN/FULL PSE/BRRPL</v>
      </c>
      <c r="H1750" s="2" t="str">
        <f>CLEAN("CTH T")</f>
        <v>CTH T</v>
      </c>
      <c r="I1750" s="2" t="str">
        <f t="shared" si="281"/>
        <v>205</v>
      </c>
    </row>
    <row r="1751" spans="1:9" x14ac:dyDescent="0.35">
      <c r="A1751" s="2" t="str">
        <f t="shared" si="279"/>
        <v>FOND DU LAC</v>
      </c>
      <c r="B1751" s="2" t="str">
        <f t="shared" si="280"/>
        <v>FOND DU LAC COUNTY</v>
      </c>
      <c r="C1751" s="2" t="s">
        <v>164</v>
      </c>
      <c r="D1751" s="2" t="str">
        <f>CLEAN("4840-01-71")</f>
        <v>4840-01-71</v>
      </c>
      <c r="E1751" s="3" t="str">
        <f>CLEAN("T EMPIRE  CTH T")</f>
        <v>T EMPIRE  CTH T</v>
      </c>
      <c r="F1751" s="3" t="str">
        <f>CLEAN("TAYCHEEDAH CREEK BRIDGE")</f>
        <v>TAYCHEEDAH CREEK BRIDGE</v>
      </c>
      <c r="G1751" s="3" t="str">
        <f>CLEAN("CONST OPS/BRRPL/B20-0255")</f>
        <v>CONST OPS/BRRPL/B20-0255</v>
      </c>
      <c r="H1751" s="2" t="str">
        <f>CLEAN("CTH T")</f>
        <v>CTH T</v>
      </c>
      <c r="I1751" s="2" t="str">
        <f t="shared" si="281"/>
        <v>205</v>
      </c>
    </row>
    <row r="1752" spans="1:9" x14ac:dyDescent="0.35">
      <c r="A1752" s="2" t="str">
        <f t="shared" si="279"/>
        <v>FOND DU LAC</v>
      </c>
      <c r="B1752" s="2" t="str">
        <f t="shared" si="280"/>
        <v>FOND DU LAC COUNTY</v>
      </c>
      <c r="C1752" s="2" t="s">
        <v>2453</v>
      </c>
      <c r="D1752" s="2" t="str">
        <f>CLEAN("4857-10-72")</f>
        <v>4857-10-72</v>
      </c>
      <c r="E1752" s="3" t="str">
        <f>CLEAN("FOND DU LAC CO  CTH V")</f>
        <v>FOND DU LAC CO  CTH V</v>
      </c>
      <c r="F1752" s="3" t="str">
        <f>CLEAN("DE NEVEU CREEK BRIDGE")</f>
        <v>DE NEVEU CREEK BRIDGE</v>
      </c>
      <c r="G1752" s="3" t="str">
        <f>CLEAN("DSN/FULL PSE/BRRPL B-20-0051")</f>
        <v>DSN/FULL PSE/BRRPL B-20-0051</v>
      </c>
      <c r="H1752" s="2" t="str">
        <f>CLEAN("CTH V")</f>
        <v>CTH V</v>
      </c>
      <c r="I1752" s="2" t="str">
        <f t="shared" si="281"/>
        <v>205</v>
      </c>
    </row>
    <row r="1753" spans="1:9" x14ac:dyDescent="0.35">
      <c r="A1753" s="2" t="str">
        <f t="shared" si="279"/>
        <v>FOND DU LAC</v>
      </c>
      <c r="B1753" s="2" t="str">
        <f t="shared" si="280"/>
        <v>FOND DU LAC COUNTY</v>
      </c>
      <c r="C1753" s="2" t="s">
        <v>2411</v>
      </c>
      <c r="D1753" s="2" t="str">
        <f>CLEAN("4859-02-00")</f>
        <v>4859-02-00</v>
      </c>
      <c r="E1753" s="3" t="str">
        <f>CLEAN("V JOHNSBURG  CTH W")</f>
        <v>V JOHNSBURG  CTH W</v>
      </c>
      <c r="F1753" s="3" t="str">
        <f>CLEAN("HEMLOCK ROAD TO JOHNSBURG ROAD")</f>
        <v>HEMLOCK ROAD TO JOHNSBURG ROAD</v>
      </c>
      <c r="G1753" s="3" t="str">
        <f>CLEAN("DSGN/FULL PSE/RECST")</f>
        <v>DSGN/FULL PSE/RECST</v>
      </c>
      <c r="H1753" s="2" t="str">
        <f>CLEAN("CTH W")</f>
        <v>CTH W</v>
      </c>
      <c r="I1753" s="2" t="str">
        <f>CLEAN("206")</f>
        <v>206</v>
      </c>
    </row>
    <row r="1754" spans="1:9" x14ac:dyDescent="0.35">
      <c r="A1754" s="2" t="str">
        <f t="shared" si="279"/>
        <v>FOND DU LAC</v>
      </c>
      <c r="B1754" s="2" t="str">
        <f t="shared" si="280"/>
        <v>FOND DU LAC COUNTY</v>
      </c>
      <c r="C1754" s="2" t="s">
        <v>2355</v>
      </c>
      <c r="D1754" s="2" t="str">
        <f>CLEAN("6296-02-00")</f>
        <v>6296-02-00</v>
      </c>
      <c r="E1754" s="3" t="str">
        <f>CLEAN("T ROSENDALE  CTH M")</f>
        <v>T ROSENDALE  CTH M</v>
      </c>
      <c r="F1754" s="3" t="str">
        <f>CLEAN("FOND DU LAC RIVER BRIDGE")</f>
        <v>FOND DU LAC RIVER BRIDGE</v>
      </c>
      <c r="G1754" s="3" t="str">
        <f>CLEAN("DSGN/FULL PSE/BRRPL")</f>
        <v>DSGN/FULL PSE/BRRPL</v>
      </c>
      <c r="H1754" s="2" t="str">
        <f>CLEAN("CTH M")</f>
        <v>CTH M</v>
      </c>
      <c r="I1754" s="2" t="str">
        <f>CLEAN("205")</f>
        <v>205</v>
      </c>
    </row>
    <row r="1755" spans="1:9" x14ac:dyDescent="0.35">
      <c r="A1755" s="2" t="str">
        <f t="shared" ref="A1755:A1772" si="282">CLEAN("FOREST")</f>
        <v>FOREST</v>
      </c>
      <c r="B1755" s="2" t="str">
        <f t="shared" ref="B1755:B1765" si="283">CLEAN("FOREST CO POTAWATOMI")</f>
        <v>FOREST CO POTAWATOMI</v>
      </c>
      <c r="C1755" s="2" t="s">
        <v>1898</v>
      </c>
      <c r="D1755" s="2" t="str">
        <f>CLEAN("9813-02-01")</f>
        <v>9813-02-01</v>
      </c>
      <c r="E1755" s="3" t="str">
        <f>CLEAN("USH 8 SHARED PATHWAY PHASE 2")</f>
        <v>USH 8 SHARED PATHWAY PHASE 2</v>
      </c>
      <c r="F1755" s="3" t="str">
        <f>CLEAN("LOVE KNOT LANE TO OTTER CREEK ROAD")</f>
        <v>LOVE KNOT LANE TO OTTER CREEK ROAD</v>
      </c>
      <c r="G1755" s="3" t="str">
        <f>CLEAN("DESIGN/FULL PSE/FLAP WI 93/MISC")</f>
        <v>DESIGN/FULL PSE/FLAP WI 93/MISC</v>
      </c>
      <c r="H1755" s="2" t="str">
        <f>CLEAN("NON HWY")</f>
        <v>NON HWY</v>
      </c>
      <c r="I1755" s="2" t="str">
        <f>CLEAN("206")</f>
        <v>206</v>
      </c>
    </row>
    <row r="1756" spans="1:9" x14ac:dyDescent="0.35">
      <c r="A1756" s="2" t="str">
        <f t="shared" si="282"/>
        <v>FOREST</v>
      </c>
      <c r="B1756" s="2" t="str">
        <f t="shared" si="283"/>
        <v>FOREST CO POTAWATOMI</v>
      </c>
      <c r="C1756" s="2" t="s">
        <v>2526</v>
      </c>
      <c r="D1756" s="2" t="str">
        <f>CLEAN("1009-44-23")</f>
        <v>1009-44-23</v>
      </c>
      <c r="E1756" s="3" t="str">
        <f>CLEAN("PATHWAY TO WELLNESS STUDY")</f>
        <v>PATHWAY TO WELLNESS STUDY</v>
      </c>
      <c r="F1756" s="3" t="str">
        <f>CLEAN("VARIOUS ROUTES")</f>
        <v>VARIOUS ROUTES</v>
      </c>
      <c r="G1756" s="3" t="str">
        <f>CLEAN("FEASIBILITY STUDY")</f>
        <v>FEASIBILITY STUDY</v>
      </c>
      <c r="H1756" s="2" t="str">
        <f>CLEAN("NON HWY")</f>
        <v>NON HWY</v>
      </c>
      <c r="I1756" s="2" t="str">
        <f>CLEAN("290")</f>
        <v>290</v>
      </c>
    </row>
    <row r="1757" spans="1:9" x14ac:dyDescent="0.35">
      <c r="A1757" s="2" t="str">
        <f t="shared" si="282"/>
        <v>FOREST</v>
      </c>
      <c r="B1757" s="2" t="str">
        <f t="shared" si="283"/>
        <v>FOREST CO POTAWATOMI</v>
      </c>
      <c r="C1757" s="2" t="s">
        <v>1904</v>
      </c>
      <c r="D1757" s="2" t="str">
        <f>CLEAN("1590-18-03")</f>
        <v>1590-18-03</v>
      </c>
      <c r="E1757" s="3" t="str">
        <f>CLEAN("MONICO - LAONA")</f>
        <v>MONICO - LAONA</v>
      </c>
      <c r="F1757" s="3" t="str">
        <f>CLEAN("RAT RIVER CULVERT REPLACEMENT C2150")</f>
        <v>RAT RIVER CULVERT REPLACEMENT C2150</v>
      </c>
      <c r="G1757" s="3" t="str">
        <f>CLEAN("DESIGN/FULL PSE/NEW BRIDGE")</f>
        <v>DESIGN/FULL PSE/NEW BRIDGE</v>
      </c>
      <c r="H1757" s="2" t="str">
        <f>CLEAN("USH 008")</f>
        <v>USH 008</v>
      </c>
      <c r="I1757" s="2" t="str">
        <f>CLEAN("303")</f>
        <v>303</v>
      </c>
    </row>
    <row r="1758" spans="1:9" x14ac:dyDescent="0.35">
      <c r="A1758" s="2" t="str">
        <f t="shared" si="282"/>
        <v>FOREST</v>
      </c>
      <c r="B1758" s="2" t="str">
        <f t="shared" si="283"/>
        <v>FOREST CO POTAWATOMI</v>
      </c>
      <c r="C1758" s="2" t="s">
        <v>989</v>
      </c>
      <c r="D1758" s="2" t="str">
        <f>CLEAN("1590-18-71")</f>
        <v>1590-18-71</v>
      </c>
      <c r="E1758" s="3" t="str">
        <f>CLEAN("MONICO - LAONA")</f>
        <v>MONICO - LAONA</v>
      </c>
      <c r="F1758" s="3" t="str">
        <f>CLEAN("STH 55 SOUTH TO OTTER CREEK ROAD")</f>
        <v>STH 55 SOUTH TO OTTER CREEK ROAD</v>
      </c>
      <c r="G1758" s="3" t="str">
        <f>CLEAN("CONST/RESURFACE")</f>
        <v>CONST/RESURFACE</v>
      </c>
      <c r="H1758" s="2" t="str">
        <f>CLEAN("USH 008")</f>
        <v>USH 008</v>
      </c>
      <c r="I1758" s="2" t="str">
        <f>CLEAN("303")</f>
        <v>303</v>
      </c>
    </row>
    <row r="1759" spans="1:9" x14ac:dyDescent="0.35">
      <c r="A1759" s="2" t="str">
        <f t="shared" si="282"/>
        <v>FOREST</v>
      </c>
      <c r="B1759" s="2" t="str">
        <f t="shared" si="283"/>
        <v>FOREST CO POTAWATOMI</v>
      </c>
      <c r="C1759" s="2" t="s">
        <v>631</v>
      </c>
      <c r="D1759" s="2" t="str">
        <f>CLEAN("1590-18-82")</f>
        <v>1590-18-82</v>
      </c>
      <c r="E1759" s="3" t="str">
        <f>CLEAN("MONICO - LAONA")</f>
        <v>MONICO - LAONA</v>
      </c>
      <c r="F1759" s="3" t="str">
        <f>CLEAN("MULTI MODAL TUNNEL")</f>
        <v>MULTI MODAL TUNNEL</v>
      </c>
      <c r="G1759" s="3" t="str">
        <f>CLEAN("CONST/MISC")</f>
        <v>CONST/MISC</v>
      </c>
      <c r="H1759" s="2" t="str">
        <f>CLEAN("USH 008")</f>
        <v>USH 008</v>
      </c>
      <c r="I1759" s="2" t="str">
        <f>CLEAN("303")</f>
        <v>303</v>
      </c>
    </row>
    <row r="1760" spans="1:9" x14ac:dyDescent="0.35">
      <c r="A1760" s="2" t="str">
        <f t="shared" si="282"/>
        <v>FOREST</v>
      </c>
      <c r="B1760" s="2" t="str">
        <f t="shared" si="283"/>
        <v>FOREST CO POTAWATOMI</v>
      </c>
      <c r="C1760" s="2" t="s">
        <v>602</v>
      </c>
      <c r="D1760" s="2" t="str">
        <f>CLEAN("1590-18-83")</f>
        <v>1590-18-83</v>
      </c>
      <c r="E1760" s="3" t="str">
        <f>CLEAN("MONICO - LAONA")</f>
        <v>MONICO - LAONA</v>
      </c>
      <c r="F1760" s="3" t="str">
        <f>CLEAN("FIREKEEPER ROAD TO BUG LAKE ROAD")</f>
        <v>FIREKEEPER ROAD TO BUG LAKE ROAD</v>
      </c>
      <c r="G1760" s="3" t="str">
        <f>CLEAN("CONST/LOCAL UTILITY")</f>
        <v>CONST/LOCAL UTILITY</v>
      </c>
      <c r="H1760" s="2" t="str">
        <f>CLEAN("USH 008")</f>
        <v>USH 008</v>
      </c>
      <c r="I1760" s="2" t="str">
        <f>CLEAN("303")</f>
        <v>303</v>
      </c>
    </row>
    <row r="1761" spans="1:9" x14ac:dyDescent="0.35">
      <c r="A1761" s="2" t="str">
        <f t="shared" si="282"/>
        <v>FOREST</v>
      </c>
      <c r="B1761" s="2" t="str">
        <f t="shared" si="283"/>
        <v>FOREST CO POTAWATOMI</v>
      </c>
      <c r="C1761" s="2" t="s">
        <v>1894</v>
      </c>
      <c r="D1761" s="2" t="str">
        <f>CLEAN("1590-19-02")</f>
        <v>1590-19-02</v>
      </c>
      <c r="E1761" s="3" t="str">
        <f>CLEAN("LAONA - GOODMAN")</f>
        <v>LAONA - GOODMAN</v>
      </c>
      <c r="F1761" s="3" t="str">
        <f>CLEAN("SCATTERED RICE CREEK  C-21-0902")</f>
        <v>SCATTERED RICE CREEK  C-21-0902</v>
      </c>
      <c r="G1761" s="3" t="str">
        <f>CLEAN("DESIGN/FULL PSE/CULVERT")</f>
        <v>DESIGN/FULL PSE/CULVERT</v>
      </c>
      <c r="H1761" s="2" t="str">
        <f>CLEAN("USH 008")</f>
        <v>USH 008</v>
      </c>
      <c r="I1761" s="2" t="str">
        <f>CLEAN("303")</f>
        <v>303</v>
      </c>
    </row>
    <row r="1762" spans="1:9" x14ac:dyDescent="0.35">
      <c r="A1762" s="2" t="str">
        <f t="shared" si="282"/>
        <v>FOREST</v>
      </c>
      <c r="B1762" s="2" t="str">
        <f t="shared" si="283"/>
        <v>FOREST CO POTAWATOMI</v>
      </c>
      <c r="C1762" s="2" t="s">
        <v>2035</v>
      </c>
      <c r="D1762" s="2" t="str">
        <f>CLEAN("9813-02-00")</f>
        <v>9813-02-00</v>
      </c>
      <c r="E1762" s="3" t="str">
        <f>CLEAN("USH 8 SHARED PATHWAY PHASE 1")</f>
        <v>USH 8 SHARED PATHWAY PHASE 1</v>
      </c>
      <c r="F1762" s="3" t="str">
        <f>CLEAN("FIREKEEPER ROAD TO LOVE KNOT LANE")</f>
        <v>FIREKEEPER ROAD TO LOVE KNOT LANE</v>
      </c>
      <c r="G1762" s="3" t="str">
        <f>CLEAN("DESIGN/MISC")</f>
        <v>DESIGN/MISC</v>
      </c>
      <c r="H1762" s="2" t="str">
        <f>CLEAN("NON HWY")</f>
        <v>NON HWY</v>
      </c>
      <c r="I1762" s="2" t="str">
        <f>CLEAN("290")</f>
        <v>290</v>
      </c>
    </row>
    <row r="1763" spans="1:9" x14ac:dyDescent="0.35">
      <c r="A1763" s="2" t="str">
        <f t="shared" si="282"/>
        <v>FOREST</v>
      </c>
      <c r="B1763" s="2" t="str">
        <f t="shared" si="283"/>
        <v>FOREST CO POTAWATOMI</v>
      </c>
      <c r="C1763" s="2" t="s">
        <v>689</v>
      </c>
      <c r="D1763" s="2" t="str">
        <f>CLEAN("9813-02-70")</f>
        <v>9813-02-70</v>
      </c>
      <c r="E1763" s="3" t="str">
        <f>CLEAN("USH 8 SHARED PATHWAY PHASE 1")</f>
        <v>USH 8 SHARED PATHWAY PHASE 1</v>
      </c>
      <c r="F1763" s="3" t="str">
        <f>CLEAN("FIREKEEPER ROAD TO LOVE KNOT LANE")</f>
        <v>FIREKEEPER ROAD TO LOVE KNOT LANE</v>
      </c>
      <c r="G1763" s="3" t="str">
        <f>CLEAN("CONST/PHASE 1/MISC")</f>
        <v>CONST/PHASE 1/MISC</v>
      </c>
      <c r="H1763" s="2" t="str">
        <f>CLEAN("NON HWY")</f>
        <v>NON HWY</v>
      </c>
      <c r="I1763" s="2" t="str">
        <f>CLEAN("290")</f>
        <v>290</v>
      </c>
    </row>
    <row r="1764" spans="1:9" x14ac:dyDescent="0.35">
      <c r="A1764" s="2" t="str">
        <f t="shared" si="282"/>
        <v>FOREST</v>
      </c>
      <c r="B1764" s="2" t="str">
        <f t="shared" si="283"/>
        <v>FOREST CO POTAWATOMI</v>
      </c>
      <c r="C1764" s="2" t="s">
        <v>552</v>
      </c>
      <c r="D1764" s="2" t="str">
        <f>CLEAN("9813-02-71")</f>
        <v>9813-02-71</v>
      </c>
      <c r="E1764" s="3" t="str">
        <f>CLEAN("USH 8 SHARED PATHWAY PHASE 2")</f>
        <v>USH 8 SHARED PATHWAY PHASE 2</v>
      </c>
      <c r="F1764" s="3" t="str">
        <f>CLEAN("LOVE KNOT LANE TO OTTER CREEK ROAD")</f>
        <v>LOVE KNOT LANE TO OTTER CREEK ROAD</v>
      </c>
      <c r="G1764" s="3" t="str">
        <f>CLEAN("CONST/FLAP WI 93/MISC")</f>
        <v>CONST/FLAP WI 93/MISC</v>
      </c>
      <c r="H1764" s="2" t="str">
        <f>CLEAN("NON HWY")</f>
        <v>NON HWY</v>
      </c>
      <c r="I1764" s="2" t="str">
        <f>CLEAN("206")</f>
        <v>206</v>
      </c>
    </row>
    <row r="1765" spans="1:9" x14ac:dyDescent="0.35">
      <c r="A1765" s="2" t="str">
        <f t="shared" si="282"/>
        <v>FOREST</v>
      </c>
      <c r="B1765" s="2" t="str">
        <f t="shared" si="283"/>
        <v>FOREST CO POTAWATOMI</v>
      </c>
      <c r="C1765" s="2" t="s">
        <v>692</v>
      </c>
      <c r="D1765" s="2" t="str">
        <f>CLEAN("9813-02-72")</f>
        <v>9813-02-72</v>
      </c>
      <c r="E1765" s="3" t="str">
        <f>CLEAN("USH 8 SHARED PATHWAY PHASE 3A")</f>
        <v>USH 8 SHARED PATHWAY PHASE 3A</v>
      </c>
      <c r="F1765" s="3" t="str">
        <f>CLEAN("CTH W TO FIREKEEPER ROAD")</f>
        <v>CTH W TO FIREKEEPER ROAD</v>
      </c>
      <c r="G1765" s="3" t="str">
        <f>CLEAN("CONST/PHASE 3A/MISC")</f>
        <v>CONST/PHASE 3A/MISC</v>
      </c>
      <c r="H1765" s="2" t="str">
        <f>CLEAN("NON HWY")</f>
        <v>NON HWY</v>
      </c>
      <c r="I1765" s="2" t="str">
        <f>CLEAN("290")</f>
        <v>290</v>
      </c>
    </row>
    <row r="1766" spans="1:9" x14ac:dyDescent="0.35">
      <c r="A1766" s="2" t="str">
        <f t="shared" si="282"/>
        <v>FOREST</v>
      </c>
      <c r="B1766" s="2" t="str">
        <f t="shared" ref="B1766:B1772" si="284">CLEAN("FOREST COUNTY")</f>
        <v>FOREST COUNTY</v>
      </c>
      <c r="C1766" s="2" t="s">
        <v>1864</v>
      </c>
      <c r="D1766" s="2" t="str">
        <f>CLEAN("9330-01-00")</f>
        <v>9330-01-00</v>
      </c>
      <c r="E1766" s="3" t="str">
        <f>CLEAN("T WABENO  SOPER STREET")</f>
        <v>T WABENO  SOPER STREET</v>
      </c>
      <c r="F1766" s="3" t="str">
        <f>CLEAN("N BR OCONTO RIVER BRIDGE")</f>
        <v>N BR OCONTO RIVER BRIDGE</v>
      </c>
      <c r="G1766" s="3" t="str">
        <f>CLEAN("DESIGN/FLAP PROG REPLACEMENT")</f>
        <v>DESIGN/FLAP PROG REPLACEMENT</v>
      </c>
      <c r="H1766" s="2" t="str">
        <f>CLEAN("CTH C")</f>
        <v>CTH C</v>
      </c>
      <c r="I1766" s="2" t="str">
        <f>CLEAN("206")</f>
        <v>206</v>
      </c>
    </row>
    <row r="1767" spans="1:9" x14ac:dyDescent="0.35">
      <c r="A1767" s="2" t="str">
        <f t="shared" si="282"/>
        <v>FOREST</v>
      </c>
      <c r="B1767" s="2" t="str">
        <f t="shared" si="284"/>
        <v>FOREST COUNTY</v>
      </c>
      <c r="C1767" s="2" t="s">
        <v>551</v>
      </c>
      <c r="D1767" s="2" t="str">
        <f>CLEAN("9330-01-70")</f>
        <v>9330-01-70</v>
      </c>
      <c r="E1767" s="3" t="str">
        <f>CLEAN("T WABENO  SOPER STREET")</f>
        <v>T WABENO  SOPER STREET</v>
      </c>
      <c r="F1767" s="3" t="str">
        <f>CLEAN("N BR OCONTO RIVER BRIDGE B210033")</f>
        <v>N BR OCONTO RIVER BRIDGE B210033</v>
      </c>
      <c r="G1767" s="3" t="str">
        <f>CLEAN("CONST/FLAP PROG REPLACEMENT")</f>
        <v>CONST/FLAP PROG REPLACEMENT</v>
      </c>
      <c r="H1767" s="2" t="str">
        <f>CLEAN("CTH C")</f>
        <v>CTH C</v>
      </c>
      <c r="I1767" s="2" t="str">
        <f>CLEAN("206")</f>
        <v>206</v>
      </c>
    </row>
    <row r="1768" spans="1:9" x14ac:dyDescent="0.35">
      <c r="A1768" s="2" t="str">
        <f t="shared" si="282"/>
        <v>FOREST</v>
      </c>
      <c r="B1768" s="2" t="str">
        <f t="shared" si="284"/>
        <v>FOREST COUNTY</v>
      </c>
      <c r="C1768" s="2" t="s">
        <v>1982</v>
      </c>
      <c r="D1768" s="2" t="str">
        <f>CLEAN("9809-00-00")</f>
        <v>9809-00-00</v>
      </c>
      <c r="E1768" s="3" t="str">
        <f>CLEAN("T ARGONNE  CARDINAL LANE")</f>
        <v>T ARGONNE  CARDINAL LANE</v>
      </c>
      <c r="F1768" s="3" t="str">
        <f>CLEAN("N BR PESHTIGO RIVER  P-21-0034")</f>
        <v>N BR PESHTIGO RIVER  P-21-0034</v>
      </c>
      <c r="G1768" s="3" t="str">
        <f>CLEAN("DESIGN/FULL PSE/REPLACEMENT")</f>
        <v>DESIGN/FULL PSE/REPLACEMENT</v>
      </c>
      <c r="H1768" s="2" t="str">
        <f>CLEAN("LOC STR")</f>
        <v>LOC STR</v>
      </c>
      <c r="I1768" s="2" t="str">
        <f>CLEAN("205")</f>
        <v>205</v>
      </c>
    </row>
    <row r="1769" spans="1:9" x14ac:dyDescent="0.35">
      <c r="A1769" s="2" t="str">
        <f t="shared" si="282"/>
        <v>FOREST</v>
      </c>
      <c r="B1769" s="2" t="str">
        <f t="shared" si="284"/>
        <v>FOREST COUNTY</v>
      </c>
      <c r="C1769" s="2" t="s">
        <v>1983</v>
      </c>
      <c r="D1769" s="2" t="str">
        <f>CLEAN("9809-00-01")</f>
        <v>9809-00-01</v>
      </c>
      <c r="E1769" s="3" t="str">
        <f>CLEAN("T ARGONNE  CARDINAL LANE")</f>
        <v>T ARGONNE  CARDINAL LANE</v>
      </c>
      <c r="F1769" s="3" t="str">
        <f>CLEAN("N BR PESHTIGO RIVER  P-21-0035")</f>
        <v>N BR PESHTIGO RIVER  P-21-0035</v>
      </c>
      <c r="G1769" s="3" t="str">
        <f>CLEAN("DESIGN/FULL PSE/REPLACEMENT")</f>
        <v>DESIGN/FULL PSE/REPLACEMENT</v>
      </c>
      <c r="H1769" s="2" t="str">
        <f>CLEAN("LOC STR")</f>
        <v>LOC STR</v>
      </c>
      <c r="I1769" s="2" t="str">
        <f>CLEAN("205")</f>
        <v>205</v>
      </c>
    </row>
    <row r="1770" spans="1:9" x14ac:dyDescent="0.35">
      <c r="A1770" s="2" t="str">
        <f t="shared" si="282"/>
        <v>FOREST</v>
      </c>
      <c r="B1770" s="2" t="str">
        <f t="shared" si="284"/>
        <v>FOREST COUNTY</v>
      </c>
      <c r="C1770" s="2" t="s">
        <v>910</v>
      </c>
      <c r="D1770" s="2" t="str">
        <f>CLEAN("9809-00-70")</f>
        <v>9809-00-70</v>
      </c>
      <c r="E1770" s="3" t="str">
        <f>CLEAN("T ARGONNE  CARDINAL LANE")</f>
        <v>T ARGONNE  CARDINAL LANE</v>
      </c>
      <c r="F1770" s="3" t="str">
        <f>CLEAN("N BR PESHTIGO RIVER  B-21-0038")</f>
        <v>N BR PESHTIGO RIVER  B-21-0038</v>
      </c>
      <c r="G1770" s="3" t="str">
        <f>CLEAN("CONST/REPLACEMENT")</f>
        <v>CONST/REPLACEMENT</v>
      </c>
      <c r="H1770" s="2" t="str">
        <f>CLEAN("LOC STR")</f>
        <v>LOC STR</v>
      </c>
      <c r="I1770" s="2" t="str">
        <f>CLEAN("205")</f>
        <v>205</v>
      </c>
    </row>
    <row r="1771" spans="1:9" x14ac:dyDescent="0.35">
      <c r="A1771" s="2" t="str">
        <f t="shared" si="282"/>
        <v>FOREST</v>
      </c>
      <c r="B1771" s="2" t="str">
        <f t="shared" si="284"/>
        <v>FOREST COUNTY</v>
      </c>
      <c r="C1771" s="2" t="s">
        <v>911</v>
      </c>
      <c r="D1771" s="2" t="str">
        <f>CLEAN("9809-00-71")</f>
        <v>9809-00-71</v>
      </c>
      <c r="E1771" s="3" t="str">
        <f>CLEAN("T ARGONNE  CARDINAL LANE")</f>
        <v>T ARGONNE  CARDINAL LANE</v>
      </c>
      <c r="F1771" s="3" t="str">
        <f>CLEAN("N BR PESHTIGO RIVER  B-21-0039")</f>
        <v>N BR PESHTIGO RIVER  B-21-0039</v>
      </c>
      <c r="G1771" s="3" t="str">
        <f>CLEAN("CONST/REPLACEMENT")</f>
        <v>CONST/REPLACEMENT</v>
      </c>
      <c r="H1771" s="2" t="str">
        <f>CLEAN("LOC STR")</f>
        <v>LOC STR</v>
      </c>
      <c r="I1771" s="2" t="str">
        <f>CLEAN("205")</f>
        <v>205</v>
      </c>
    </row>
    <row r="1772" spans="1:9" x14ac:dyDescent="0.35">
      <c r="A1772" s="2" t="str">
        <f t="shared" si="282"/>
        <v>FOREST</v>
      </c>
      <c r="B1772" s="2" t="str">
        <f t="shared" si="284"/>
        <v>FOREST COUNTY</v>
      </c>
      <c r="C1772" s="2" t="s">
        <v>938</v>
      </c>
      <c r="D1772" s="2" t="str">
        <f>CLEAN("9815-00-70")</f>
        <v>9815-00-70</v>
      </c>
      <c r="E1772" s="3" t="str">
        <f>CLEAN("T HILES  WEST PINE LAKE ROAD")</f>
        <v>T HILES  WEST PINE LAKE ROAD</v>
      </c>
      <c r="F1772" s="3" t="str">
        <f>CLEAN("WOLF RIVER BRIDGE B-21-0032")</f>
        <v>WOLF RIVER BRIDGE B-21-0032</v>
      </c>
      <c r="G1772" s="3" t="str">
        <f>CLEAN("CONST/REPLACEMENT")</f>
        <v>CONST/REPLACEMENT</v>
      </c>
      <c r="H1772" s="2" t="str">
        <f>CLEAN("LOC STR")</f>
        <v>LOC STR</v>
      </c>
      <c r="I1772" s="2" t="str">
        <f>CLEAN("205")</f>
        <v>205</v>
      </c>
    </row>
    <row r="1773" spans="1:9" x14ac:dyDescent="0.35">
      <c r="A1773" s="2" t="str">
        <f>CLEAN("BROWN")</f>
        <v>BROWN</v>
      </c>
      <c r="B1773" s="2" t="str">
        <f t="shared" ref="B1773:B1779" si="285">CLEAN("FOX VALLEY &amp; LAKE SUPERIOR RAIL SYSTEM LLC")</f>
        <v>FOX VALLEY &amp; LAKE SUPERIOR RAIL SYSTEM LLC</v>
      </c>
      <c r="C1773" s="2" t="s">
        <v>1010</v>
      </c>
      <c r="D1773" s="2" t="str">
        <f>CLEAN("1450-19-51")</f>
        <v>1450-19-51</v>
      </c>
      <c r="E1773" s="3" t="str">
        <f>CLEAN("C GREEN BAY  FOXY RR XING SURFACE")</f>
        <v>C GREEN BAY  FOXY RR XING SURFACE</v>
      </c>
      <c r="F1773" s="3" t="str">
        <f>CLEAN("181505E  DENMARK SPUR MP 109.28")</f>
        <v>181505E  DENMARK SPUR MP 109.28</v>
      </c>
      <c r="G1773" s="3" t="str">
        <f>CLEAN("CONST/RR CROSSING REPAIR")</f>
        <v>CONST/RR CROSSING REPAIR</v>
      </c>
      <c r="H1773" s="2" t="str">
        <f>CLEAN("USH 141")</f>
        <v>USH 141</v>
      </c>
      <c r="I1773" s="2" t="str">
        <f>CLEAN("207")</f>
        <v>207</v>
      </c>
    </row>
    <row r="1774" spans="1:9" x14ac:dyDescent="0.35">
      <c r="A1774" s="2" t="str">
        <f>CLEAN("LINCOLN")</f>
        <v>LINCOLN</v>
      </c>
      <c r="B1774" s="2" t="str">
        <f t="shared" si="285"/>
        <v>FOX VALLEY &amp; LAKE SUPERIOR RAIL SYSTEM LLC</v>
      </c>
      <c r="C1774" s="2" t="s">
        <v>3281</v>
      </c>
      <c r="D1774" s="2" t="str">
        <f>CLEAN("1590-14-52")</f>
        <v>1590-14-52</v>
      </c>
      <c r="E1774" s="3" t="str">
        <f>CLEAN("PRENTICE - BRADLEY")</f>
        <v>PRENTICE - BRADLEY</v>
      </c>
      <c r="F1774" s="3" t="str">
        <f>CLEAN("MCCORD ROAD TO CTH L")</f>
        <v>MCCORD ROAD TO CTH L</v>
      </c>
      <c r="G1774" s="3" t="str">
        <f>CLEAN("RR OPS/XING SURFACE 855242H")</f>
        <v>RR OPS/XING SURFACE 855242H</v>
      </c>
      <c r="H1774" s="2" t="str">
        <f>CLEAN("USH 008")</f>
        <v>USH 008</v>
      </c>
      <c r="I1774" s="2" t="str">
        <f>CLEAN("303")</f>
        <v>303</v>
      </c>
    </row>
    <row r="1775" spans="1:9" x14ac:dyDescent="0.35">
      <c r="A1775" s="2" t="str">
        <f>CLEAN("ASHLAND")</f>
        <v>ASHLAND</v>
      </c>
      <c r="B1775" s="2" t="str">
        <f t="shared" si="285"/>
        <v>FOX VALLEY &amp; LAKE SUPERIOR RAIL SYSTEM LLC</v>
      </c>
      <c r="C1775" s="2" t="s">
        <v>3315</v>
      </c>
      <c r="D1775" s="2" t="str">
        <f>CLEAN("1610-00-56")</f>
        <v>1610-00-56</v>
      </c>
      <c r="E1775" s="3" t="str">
        <f>CLEAN("C MELLEN  MAIN STREET")</f>
        <v>C MELLEN  MAIN STREET</v>
      </c>
      <c r="F1775" s="3" t="str">
        <f>CLEAN("FVLS RR XING 699392L")</f>
        <v>FVLS RR XING 699392L</v>
      </c>
      <c r="G1775" s="3" t="str">
        <f>CLEAN("RR/UPGRADE RAIL CROSSING")</f>
        <v>RR/UPGRADE RAIL CROSSING</v>
      </c>
      <c r="H1775" s="2" t="str">
        <f>CLEAN("STH 013")</f>
        <v>STH 013</v>
      </c>
      <c r="I1775" s="2" t="str">
        <f>CLEAN("303")</f>
        <v>303</v>
      </c>
    </row>
    <row r="1776" spans="1:9" x14ac:dyDescent="0.35">
      <c r="A1776" s="2" t="str">
        <f>CLEAN("OUTAGAMIE")</f>
        <v>OUTAGAMIE</v>
      </c>
      <c r="B1776" s="2" t="str">
        <f t="shared" si="285"/>
        <v>FOX VALLEY &amp; LAKE SUPERIOR RAIL SYSTEM LLC</v>
      </c>
      <c r="C1776" s="2" t="s">
        <v>3279</v>
      </c>
      <c r="D1776" s="2" t="str">
        <f>CLEAN("4075-40-50")</f>
        <v>4075-40-50</v>
      </c>
      <c r="E1776" s="3" t="str">
        <f>CLEAN("W WISCONSIN AVE  T OF GRAND CHUTE")</f>
        <v>W WISCONSIN AVE  T OF GRAND CHUTE</v>
      </c>
      <c r="F1776" s="3" t="str">
        <f>CLEAN("FOXY RR XING SURFACE 697814V")</f>
        <v>FOXY RR XING SURFACE 697814V</v>
      </c>
      <c r="G1776" s="3" t="str">
        <f>CLEAN("RR OPS/XING IMPROVEMENT")</f>
        <v>RR OPS/XING IMPROVEMENT</v>
      </c>
      <c r="H1776" s="2" t="str">
        <f>CLEAN("STH 096")</f>
        <v>STH 096</v>
      </c>
      <c r="I1776" s="2" t="str">
        <f>CLEAN("303")</f>
        <v>303</v>
      </c>
    </row>
    <row r="1777" spans="1:9" x14ac:dyDescent="0.35">
      <c r="A1777" s="2" t="str">
        <f>CLEAN("OUTAGAMIE")</f>
        <v>OUTAGAMIE</v>
      </c>
      <c r="B1777" s="2" t="str">
        <f t="shared" si="285"/>
        <v>FOX VALLEY &amp; LAKE SUPERIOR RAIL SYSTEM LLC</v>
      </c>
      <c r="C1777" s="2" t="s">
        <v>2539</v>
      </c>
      <c r="D1777" s="2" t="str">
        <f>CLEAN("6517-16-50")</f>
        <v>6517-16-50</v>
      </c>
      <c r="E1777" s="3" t="str">
        <f>CLEAN("STH 15 - CTH JJ")</f>
        <v>STH 15 - CTH JJ</v>
      </c>
      <c r="F1777" s="3" t="str">
        <f>CLEAN("FV RR XING 181837Y")</f>
        <v>FV RR XING 181837Y</v>
      </c>
      <c r="G1777" s="3" t="str">
        <f>CLEAN("FV RR XING")</f>
        <v>FV RR XING</v>
      </c>
      <c r="H1777" s="2" t="str">
        <f>CLEAN("STH 076")</f>
        <v>STH 076</v>
      </c>
      <c r="I1777" s="2" t="str">
        <f>CLEAN("303")</f>
        <v>303</v>
      </c>
    </row>
    <row r="1778" spans="1:9" x14ac:dyDescent="0.35">
      <c r="A1778" s="2" t="str">
        <f>CLEAN("OUTAGAMIE")</f>
        <v>OUTAGAMIE</v>
      </c>
      <c r="B1778" s="2" t="str">
        <f t="shared" si="285"/>
        <v>FOX VALLEY &amp; LAKE SUPERIOR RAIL SYSTEM LLC</v>
      </c>
      <c r="C1778" s="2" t="s">
        <v>637</v>
      </c>
      <c r="D1778" s="2" t="str">
        <f>CLEAN("6528-07-52")</f>
        <v>6528-07-52</v>
      </c>
      <c r="E1778" s="3" t="str">
        <f>CLEAN("STH 15-NEW LONDON")</f>
        <v>STH 15-NEW LONDON</v>
      </c>
      <c r="F1778" s="3" t="str">
        <f>CLEAN("USH 45  FV XING SURFACE 693839C")</f>
        <v>USH 45  FV XING SURFACE 693839C</v>
      </c>
      <c r="G1778" s="3" t="str">
        <f>CLEAN("CONST/MISC RR 693839C SURFACE")</f>
        <v>CONST/MISC RR 693839C SURFACE</v>
      </c>
      <c r="H1778" s="2" t="str">
        <f>CLEAN("USH 045")</f>
        <v>USH 045</v>
      </c>
      <c r="I1778" s="2" t="str">
        <f>CLEAN("302")</f>
        <v>302</v>
      </c>
    </row>
    <row r="1779" spans="1:9" x14ac:dyDescent="0.35">
      <c r="A1779" s="2" t="str">
        <f>CLEAN("LINCOLN")</f>
        <v>LINCOLN</v>
      </c>
      <c r="B1779" s="2" t="str">
        <f t="shared" si="285"/>
        <v>FOX VALLEY &amp; LAKE SUPERIOR RAIL SYSTEM LLC</v>
      </c>
      <c r="C1779" s="2" t="s">
        <v>2540</v>
      </c>
      <c r="D1779" s="2" t="str">
        <f>CLEAN("9305-07-51")</f>
        <v>9305-07-51</v>
      </c>
      <c r="E1779" s="3" t="str">
        <f>CLEAN("MERRILL - TOMAHAWK")</f>
        <v>MERRILL - TOMAHAWK</v>
      </c>
      <c r="F1779" s="3" t="str">
        <f>CLEAN("WILDERNESS DRIVE TO CTH S")</f>
        <v>WILDERNESS DRIVE TO CTH S</v>
      </c>
      <c r="G1779" s="3" t="str">
        <f>CLEAN("FVLS XING SURFACE 392 928M MP128.3")</f>
        <v>FVLS XING SURFACE 392 928M MP128.3</v>
      </c>
      <c r="H1779" s="2" t="str">
        <f>CLEAN("STH 107")</f>
        <v>STH 107</v>
      </c>
      <c r="I1779" s="2" t="str">
        <f>CLEAN("303")</f>
        <v>303</v>
      </c>
    </row>
    <row r="1780" spans="1:9" x14ac:dyDescent="0.35">
      <c r="A1780" s="2" t="str">
        <f>CLEAN("STATEWIDE")</f>
        <v>STATEWIDE</v>
      </c>
      <c r="B1780" s="2" t="str">
        <f>CLEAN("FOX VALLEY TECHNICAL COLLEGE")</f>
        <v>FOX VALLEY TECHNICAL COLLEGE</v>
      </c>
      <c r="C1780" s="2" t="s">
        <v>1379</v>
      </c>
      <c r="D1780" s="2" t="str">
        <f>CLEAN("1000-20-78")</f>
        <v>1000-20-78</v>
      </c>
      <c r="E1780" s="3" t="str">
        <f>CLEAN("STATEWIDE TYPE 1 SIGN REPLACEMENT")</f>
        <v>STATEWIDE TYPE 1 SIGN REPLACEMENT</v>
      </c>
      <c r="F1780" s="3" t="str">
        <f>CLEAN("LOCATIONS ON STN PER ANNUAL PLAN")</f>
        <v>LOCATIONS ON STN PER ANNUAL PLAN</v>
      </c>
      <c r="G1780" s="3" t="str">
        <f>CLEAN("CONSTRUCTION/SIGN REPLACEMENTS")</f>
        <v>CONSTRUCTION/SIGN REPLACEMENTS</v>
      </c>
      <c r="H1780" s="2" t="str">
        <f>CLEAN("VAR HWY")</f>
        <v>VAR HWY</v>
      </c>
      <c r="I1780" s="2" t="str">
        <f>CLEAN("305")</f>
        <v>305</v>
      </c>
    </row>
    <row r="1781" spans="1:9" x14ac:dyDescent="0.35">
      <c r="A1781" s="2" t="str">
        <f>CLEAN("POLK")</f>
        <v>POLK</v>
      </c>
      <c r="B1781" s="2" t="str">
        <f>CLEAN("Frederic School District")</f>
        <v>Frederic School District</v>
      </c>
      <c r="C1781" s="2" t="s">
        <v>2279</v>
      </c>
      <c r="D1781" s="2" t="str">
        <f>CLEAN("8420-02-00")</f>
        <v>8420-02-00</v>
      </c>
      <c r="E1781" s="3" t="str">
        <f>CLEAN("V FREDERIC  SAFE ROUTES TO SCHOOL")</f>
        <v>V FREDERIC  SAFE ROUTES TO SCHOOL</v>
      </c>
      <c r="F1781" s="3" t="str">
        <f>CLEAN("SIDEWALKS ON VARIOUS STREETS")</f>
        <v>SIDEWALKS ON VARIOUS STREETS</v>
      </c>
      <c r="G1781" s="3" t="str">
        <f>CLEAN("DESIGN/SAFE ROUTES TO SCHOOL TAP")</f>
        <v>DESIGN/SAFE ROUTES TO SCHOOL TAP</v>
      </c>
      <c r="H1781" s="2" t="str">
        <f>CLEAN("NON HWY")</f>
        <v>NON HWY</v>
      </c>
      <c r="I1781" s="2" t="str">
        <f>CLEAN("290")</f>
        <v>290</v>
      </c>
    </row>
    <row r="1782" spans="1:9" x14ac:dyDescent="0.35">
      <c r="A1782" s="2" t="str">
        <f t="shared" ref="A1782:A1792" si="286">CLEAN("GRANT")</f>
        <v>GRANT</v>
      </c>
      <c r="B1782" s="2" t="str">
        <f t="shared" ref="B1782:B1792" si="287">CLEAN("GRANT COUNTY")</f>
        <v>GRANT COUNTY</v>
      </c>
      <c r="C1782" s="2" t="s">
        <v>2108</v>
      </c>
      <c r="D1782" s="2" t="str">
        <f>CLEAN("5166-00-02")</f>
        <v>5166-00-02</v>
      </c>
      <c r="E1782" s="3" t="str">
        <f>CLEAN("USH 61 - USH 151 (CTH O)")</f>
        <v>USH 61 - USH 151 (CTH O)</v>
      </c>
      <c r="F1782" s="3" t="str">
        <f>CLEAN("PLATTE RIVER BRIDGE B-22-0039")</f>
        <v>PLATTE RIVER BRIDGE B-22-0039</v>
      </c>
      <c r="G1782" s="3" t="str">
        <f>CLEAN("DESIGN/PLAN CHECK REVIEW/BRRPL")</f>
        <v>DESIGN/PLAN CHECK REVIEW/BRRPL</v>
      </c>
      <c r="H1782" s="2" t="str">
        <f>CLEAN("CTH O")</f>
        <v>CTH O</v>
      </c>
      <c r="I1782" s="2" t="str">
        <f>CLEAN("205")</f>
        <v>205</v>
      </c>
    </row>
    <row r="1783" spans="1:9" x14ac:dyDescent="0.35">
      <c r="A1783" s="2" t="str">
        <f t="shared" si="286"/>
        <v>GRANT</v>
      </c>
      <c r="B1783" s="2" t="str">
        <f t="shared" si="287"/>
        <v>GRANT COUNTY</v>
      </c>
      <c r="C1783" s="2" t="s">
        <v>2131</v>
      </c>
      <c r="D1783" s="2" t="str">
        <f>CLEAN("5316-00-01")</f>
        <v>5316-00-01</v>
      </c>
      <c r="E1783" s="3" t="str">
        <f>CLEAN("PLATTEVILLE - CTH A (CTH D)")</f>
        <v>PLATTEVILLE - CTH A (CTH D)</v>
      </c>
      <c r="F1783" s="3" t="str">
        <f>CLEAN("STH 81 TO CTH A")</f>
        <v>STH 81 TO CTH A</v>
      </c>
      <c r="G1783" s="3" t="str">
        <f>CLEAN("DESIGN/PLAN CHECK REVIEW/PVRPL")</f>
        <v>DESIGN/PLAN CHECK REVIEW/PVRPL</v>
      </c>
      <c r="H1783" s="2" t="str">
        <f>CLEAN("CTH D")</f>
        <v>CTH D</v>
      </c>
      <c r="I1783" s="2" t="str">
        <f t="shared" ref="I1783:I1788" si="288">CLEAN("206")</f>
        <v>206</v>
      </c>
    </row>
    <row r="1784" spans="1:9" x14ac:dyDescent="0.35">
      <c r="A1784" s="2" t="str">
        <f t="shared" si="286"/>
        <v>GRANT</v>
      </c>
      <c r="B1784" s="2" t="str">
        <f t="shared" si="287"/>
        <v>GRANT COUNTY</v>
      </c>
      <c r="C1784" s="2" t="s">
        <v>198</v>
      </c>
      <c r="D1784" s="2" t="str">
        <f>CLEAN("5316-00-71")</f>
        <v>5316-00-71</v>
      </c>
      <c r="E1784" s="3" t="str">
        <f>CLEAN("PLATTEVILLE - CTH A (CTH D)")</f>
        <v>PLATTEVILLE - CTH A (CTH D)</v>
      </c>
      <c r="F1784" s="3" t="str">
        <f>CLEAN("STH 81 TO CTH A")</f>
        <v>STH 81 TO CTH A</v>
      </c>
      <c r="G1784" s="3" t="str">
        <f>CLEAN("CONST OPS/PAVEMENT REPLACEMENT")</f>
        <v>CONST OPS/PAVEMENT REPLACEMENT</v>
      </c>
      <c r="H1784" s="2" t="str">
        <f>CLEAN("CTH D")</f>
        <v>CTH D</v>
      </c>
      <c r="I1784" s="2" t="str">
        <f t="shared" si="288"/>
        <v>206</v>
      </c>
    </row>
    <row r="1785" spans="1:9" x14ac:dyDescent="0.35">
      <c r="A1785" s="2" t="str">
        <f t="shared" si="286"/>
        <v>GRANT</v>
      </c>
      <c r="B1785" s="2" t="str">
        <f t="shared" si="287"/>
        <v>GRANT COUNTY</v>
      </c>
      <c r="C1785" s="2" t="s">
        <v>2167</v>
      </c>
      <c r="D1785" s="2" t="str">
        <f>CLEAN("5609-00-00")</f>
        <v>5609-00-00</v>
      </c>
      <c r="E1785" s="3" t="str">
        <f>CLEAN("KIELER - CUBA CITY (CTH H)")</f>
        <v>KIELER - CUBA CITY (CTH H)</v>
      </c>
      <c r="F1785" s="3" t="str">
        <f>CLEAN("ELM STREET TO STH 80")</f>
        <v>ELM STREET TO STH 80</v>
      </c>
      <c r="G1785" s="3" t="str">
        <f>CLEAN("DESIGN/PLAN CHECK REVIEW/RECOND")</f>
        <v>DESIGN/PLAN CHECK REVIEW/RECOND</v>
      </c>
      <c r="H1785" s="2" t="str">
        <f>CLEAN("CTH H")</f>
        <v>CTH H</v>
      </c>
      <c r="I1785" s="2" t="str">
        <f t="shared" si="288"/>
        <v>206</v>
      </c>
    </row>
    <row r="1786" spans="1:9" x14ac:dyDescent="0.35">
      <c r="A1786" s="2" t="str">
        <f t="shared" si="286"/>
        <v>GRANT</v>
      </c>
      <c r="B1786" s="2" t="str">
        <f t="shared" si="287"/>
        <v>GRANT COUNTY</v>
      </c>
      <c r="C1786" s="2" t="s">
        <v>225</v>
      </c>
      <c r="D1786" s="2" t="str">
        <f>CLEAN("5609-00-70")</f>
        <v>5609-00-70</v>
      </c>
      <c r="E1786" s="3" t="str">
        <f>CLEAN("KIELER - CUBA CITY (CTH H)")</f>
        <v>KIELER - CUBA CITY (CTH H)</v>
      </c>
      <c r="F1786" s="3" t="str">
        <f>CLEAN("ELM STREET TO STH 80")</f>
        <v>ELM STREET TO STH 80</v>
      </c>
      <c r="G1786" s="3" t="str">
        <f>CLEAN("CONST OPS/RECONITIONING")</f>
        <v>CONST OPS/RECONITIONING</v>
      </c>
      <c r="H1786" s="2" t="str">
        <f>CLEAN("CTH H")</f>
        <v>CTH H</v>
      </c>
      <c r="I1786" s="2" t="str">
        <f t="shared" si="288"/>
        <v>206</v>
      </c>
    </row>
    <row r="1787" spans="1:9" x14ac:dyDescent="0.35">
      <c r="A1787" s="2" t="str">
        <f t="shared" si="286"/>
        <v>GRANT</v>
      </c>
      <c r="B1787" s="2" t="str">
        <f t="shared" si="287"/>
        <v>GRANT COUNTY</v>
      </c>
      <c r="C1787" s="2" t="s">
        <v>2223</v>
      </c>
      <c r="D1787" s="2" t="str">
        <f>CLEAN("5615-00-06")</f>
        <v>5615-00-06</v>
      </c>
      <c r="E1787" s="3" t="str">
        <f>CLEAN("STH 129 - STH 80 (CTH A)")</f>
        <v>STH 129 - STH 80 (CTH A)</v>
      </c>
      <c r="F1787" s="3" t="str">
        <f>CLEAN("WHIG ROAD TO E DAILEY ROAD")</f>
        <v>WHIG ROAD TO E DAILEY ROAD</v>
      </c>
      <c r="G1787" s="3" t="str">
        <f>CLEAN("DESIGN/PLAN CHECK REVIEW/RECST")</f>
        <v>DESIGN/PLAN CHECK REVIEW/RECST</v>
      </c>
      <c r="H1787" s="2" t="str">
        <f>CLEAN("CTH A")</f>
        <v>CTH A</v>
      </c>
      <c r="I1787" s="2" t="str">
        <f t="shared" si="288"/>
        <v>206</v>
      </c>
    </row>
    <row r="1788" spans="1:9" x14ac:dyDescent="0.35">
      <c r="A1788" s="2" t="str">
        <f t="shared" si="286"/>
        <v>GRANT</v>
      </c>
      <c r="B1788" s="2" t="str">
        <f t="shared" si="287"/>
        <v>GRANT COUNTY</v>
      </c>
      <c r="C1788" s="2" t="s">
        <v>2255</v>
      </c>
      <c r="D1788" s="2" t="str">
        <f>CLEAN("5667-00-05")</f>
        <v>5667-00-05</v>
      </c>
      <c r="E1788" s="3" t="str">
        <f>CLEAN("C OF FENNIMORE - T CASTLE ROCK")</f>
        <v>C OF FENNIMORE - T CASTLE ROCK</v>
      </c>
      <c r="F1788" s="3" t="str">
        <f>CLEAN("US 61 TO CTH G")</f>
        <v>US 61 TO CTH G</v>
      </c>
      <c r="G1788" s="3" t="str">
        <f>CLEAN("DESIGN/RECONSTRUCT")</f>
        <v>DESIGN/RECONSTRUCT</v>
      </c>
      <c r="H1788" s="2" t="str">
        <f>CLEAN("CTH Q")</f>
        <v>CTH Q</v>
      </c>
      <c r="I1788" s="2" t="str">
        <f t="shared" si="288"/>
        <v>206</v>
      </c>
    </row>
    <row r="1789" spans="1:9" x14ac:dyDescent="0.35">
      <c r="A1789" s="2" t="str">
        <f t="shared" si="286"/>
        <v>GRANT</v>
      </c>
      <c r="B1789" s="2" t="str">
        <f t="shared" si="287"/>
        <v>GRANT COUNTY</v>
      </c>
      <c r="C1789" s="2" t="s">
        <v>2070</v>
      </c>
      <c r="D1789" s="2" t="str">
        <f>CLEAN("5905-00-00")</f>
        <v>5905-00-00</v>
      </c>
      <c r="E1789" s="3" t="str">
        <f>CLEAN("CTH M - CTH Q")</f>
        <v>CTH M - CTH Q</v>
      </c>
      <c r="F1789" s="3" t="str">
        <f>CLEAN("BLUE RIVER BRIDGE B-22-0013")</f>
        <v>BLUE RIVER BRIDGE B-22-0013</v>
      </c>
      <c r="G1789" s="3" t="str">
        <f>CLEAN("DESIGN/PLAN CHECK REVIEW / BRRPL")</f>
        <v>DESIGN/PLAN CHECK REVIEW / BRRPL</v>
      </c>
      <c r="H1789" s="2" t="str">
        <f>CLEAN("CTH G")</f>
        <v>CTH G</v>
      </c>
      <c r="I1789" s="2" t="str">
        <f>CLEAN("205")</f>
        <v>205</v>
      </c>
    </row>
    <row r="1790" spans="1:9" x14ac:dyDescent="0.35">
      <c r="A1790" s="2" t="str">
        <f t="shared" si="286"/>
        <v>GRANT</v>
      </c>
      <c r="B1790" s="2" t="str">
        <f t="shared" si="287"/>
        <v>GRANT COUNTY</v>
      </c>
      <c r="C1790" s="2" t="s">
        <v>403</v>
      </c>
      <c r="D1790" s="2" t="str">
        <f>CLEAN("5905-00-70")</f>
        <v>5905-00-70</v>
      </c>
      <c r="E1790" s="3" t="str">
        <f>CLEAN("CTH M - CTH Q")</f>
        <v>CTH M - CTH Q</v>
      </c>
      <c r="F1790" s="3" t="str">
        <f>CLEAN("BLUE RIVER BRIDGE B-22-0309")</f>
        <v>BLUE RIVER BRIDGE B-22-0309</v>
      </c>
      <c r="G1790" s="3" t="str">
        <f>CLEAN("CONST/BRIDGE REPLACEMENT")</f>
        <v>CONST/BRIDGE REPLACEMENT</v>
      </c>
      <c r="H1790" s="2" t="str">
        <f>CLEAN("CTH G")</f>
        <v>CTH G</v>
      </c>
      <c r="I1790" s="2" t="str">
        <f>CLEAN("205")</f>
        <v>205</v>
      </c>
    </row>
    <row r="1791" spans="1:9" x14ac:dyDescent="0.35">
      <c r="A1791" s="2" t="str">
        <f t="shared" si="286"/>
        <v>GRANT</v>
      </c>
      <c r="B1791" s="2" t="str">
        <f t="shared" si="287"/>
        <v>GRANT COUNTY</v>
      </c>
      <c r="C1791" s="2" t="s">
        <v>2165</v>
      </c>
      <c r="D1791" s="2" t="str">
        <f>CLEAN("5910-00-02")</f>
        <v>5910-00-02</v>
      </c>
      <c r="E1791" s="3" t="str">
        <f>CLEAN("USH 151 - STH 80 (CTH HH)")</f>
        <v>USH 151 - STH 80 (CTH HH)</v>
      </c>
      <c r="F1791" s="3" t="str">
        <f>CLEAN("USH 151 TO CTH H")</f>
        <v>USH 151 TO CTH H</v>
      </c>
      <c r="G1791" s="3" t="str">
        <f>CLEAN("DESIGN/PLAN CHECK REVIEW/RCND")</f>
        <v>DESIGN/PLAN CHECK REVIEW/RCND</v>
      </c>
      <c r="H1791" s="2" t="str">
        <f>CLEAN("CTH HH")</f>
        <v>CTH HH</v>
      </c>
      <c r="I1791" s="2" t="str">
        <f>CLEAN("206")</f>
        <v>206</v>
      </c>
    </row>
    <row r="1792" spans="1:9" x14ac:dyDescent="0.35">
      <c r="A1792" s="2" t="str">
        <f t="shared" si="286"/>
        <v>GRANT</v>
      </c>
      <c r="B1792" s="2" t="str">
        <f t="shared" si="287"/>
        <v>GRANT COUNTY</v>
      </c>
      <c r="C1792" s="2" t="s">
        <v>224</v>
      </c>
      <c r="D1792" s="2" t="str">
        <f>CLEAN("5910-00-72")</f>
        <v>5910-00-72</v>
      </c>
      <c r="E1792" s="3" t="str">
        <f>CLEAN("USH 151 - STH 80 (CTH HH)")</f>
        <v>USH 151 - STH 80 (CTH HH)</v>
      </c>
      <c r="F1792" s="3" t="str">
        <f>CLEAN("USH 151 TO CTH H")</f>
        <v>USH 151 TO CTH H</v>
      </c>
      <c r="G1792" s="3" t="str">
        <f>CLEAN("CONST OPS/RECONDITION")</f>
        <v>CONST OPS/RECONDITION</v>
      </c>
      <c r="H1792" s="2" t="str">
        <f>CLEAN("CTH HH")</f>
        <v>CTH HH</v>
      </c>
      <c r="I1792" s="2" t="str">
        <f>CLEAN("206")</f>
        <v>206</v>
      </c>
    </row>
    <row r="1793" spans="1:9" x14ac:dyDescent="0.35">
      <c r="A1793" s="2" t="str">
        <f>CLEAN("STATEWIDE")</f>
        <v>STATEWIDE</v>
      </c>
      <c r="B1793" s="2" t="str">
        <f>CLEAN("Green Bay Packers")</f>
        <v>Green Bay Packers</v>
      </c>
      <c r="C1793" s="2" t="s">
        <v>1379</v>
      </c>
      <c r="D1793" s="2" t="str">
        <f>CLEAN("1000-20-78")</f>
        <v>1000-20-78</v>
      </c>
      <c r="E1793" s="3" t="str">
        <f>CLEAN("STATEWIDE TYPE 1 SIGN REPLACEMENT")</f>
        <v>STATEWIDE TYPE 1 SIGN REPLACEMENT</v>
      </c>
      <c r="F1793" s="3" t="str">
        <f>CLEAN("LOCATIONS ON STN PER ANNUAL PLAN")</f>
        <v>LOCATIONS ON STN PER ANNUAL PLAN</v>
      </c>
      <c r="G1793" s="3" t="str">
        <f>CLEAN("CONSTRUCTION/SIGN REPLACEMENTS")</f>
        <v>CONSTRUCTION/SIGN REPLACEMENTS</v>
      </c>
      <c r="H1793" s="2" t="str">
        <f>CLEAN("VAR HWY")</f>
        <v>VAR HWY</v>
      </c>
      <c r="I1793" s="2" t="str">
        <f>CLEAN("305")</f>
        <v>305</v>
      </c>
    </row>
    <row r="1794" spans="1:9" x14ac:dyDescent="0.35">
      <c r="A1794" s="2" t="str">
        <f t="shared" ref="A1794:A1808" si="289">CLEAN("GREEN")</f>
        <v>GREEN</v>
      </c>
      <c r="B1794" s="2" t="str">
        <f t="shared" ref="B1794:B1808" si="290">CLEAN("GREEN COUNTY")</f>
        <v>GREEN COUNTY</v>
      </c>
      <c r="C1794" s="2" t="s">
        <v>232</v>
      </c>
      <c r="D1794" s="2" t="str">
        <f>CLEAN("5208-00-73")</f>
        <v>5208-00-73</v>
      </c>
      <c r="E1794" s="3" t="str">
        <f>CLEAN("CTH X - CTH E")</f>
        <v>CTH X - CTH E</v>
      </c>
      <c r="F1794" s="3" t="str">
        <f>CLEAN("SUGAR RIVER BRIDGE B-23-0181")</f>
        <v>SUGAR RIVER BRIDGE B-23-0181</v>
      </c>
      <c r="G1794" s="3" t="str">
        <f>CLEAN("CONST OPS/RECONSTRUCT W BRRPL")</f>
        <v>CONST OPS/RECONSTRUCT W BRRPL</v>
      </c>
      <c r="H1794" s="2" t="str">
        <f>CLEAN("CTH C")</f>
        <v>CTH C</v>
      </c>
      <c r="I1794" s="2" t="str">
        <f>CLEAN("206")</f>
        <v>206</v>
      </c>
    </row>
    <row r="1795" spans="1:9" x14ac:dyDescent="0.35">
      <c r="A1795" s="2" t="str">
        <f t="shared" si="289"/>
        <v>GREEN</v>
      </c>
      <c r="B1795" s="2" t="str">
        <f t="shared" si="290"/>
        <v>GREEN COUNTY</v>
      </c>
      <c r="C1795" s="2" t="s">
        <v>2166</v>
      </c>
      <c r="D1795" s="2" t="str">
        <f>CLEAN("5234-00-02")</f>
        <v>5234-00-02</v>
      </c>
      <c r="E1795" s="3" t="str">
        <f>CLEAN("CTH N - NEW GLARUS (CTH K)")</f>
        <v>CTH N - NEW GLARUS (CTH K)</v>
      </c>
      <c r="F1795" s="3" t="str">
        <f>CLEAN("CTH N TO STH 69")</f>
        <v>CTH N TO STH 69</v>
      </c>
      <c r="G1795" s="3" t="str">
        <f>CLEAN("DESIGN/PLAN CHECK REVIEW/RCND10")</f>
        <v>DESIGN/PLAN CHECK REVIEW/RCND10</v>
      </c>
      <c r="H1795" s="2" t="str">
        <f>CLEAN("CTH H")</f>
        <v>CTH H</v>
      </c>
      <c r="I1795" s="2" t="str">
        <f>CLEAN("206")</f>
        <v>206</v>
      </c>
    </row>
    <row r="1796" spans="1:9" x14ac:dyDescent="0.35">
      <c r="A1796" s="2" t="str">
        <f t="shared" si="289"/>
        <v>GREEN</v>
      </c>
      <c r="B1796" s="2" t="str">
        <f t="shared" si="290"/>
        <v>GREEN COUNTY</v>
      </c>
      <c r="C1796" s="2" t="s">
        <v>1519</v>
      </c>
      <c r="D1796" s="2" t="str">
        <f>CLEAN("5599-00-02")</f>
        <v>5599-00-02</v>
      </c>
      <c r="E1796" s="3" t="str">
        <f>CLEAN("CTH C - CTH J (CTH J)")</f>
        <v>CTH C - CTH J (CTH J)</v>
      </c>
      <c r="F1796" s="3" t="str">
        <f>CLEAN("HOLSTEIN PRAIRIE TO DIVIDING RIDGE")</f>
        <v>HOLSTEIN PRAIRIE TO DIVIDING RIDGE</v>
      </c>
      <c r="G1796" s="3" t="str">
        <f>CLEAN("DESIGN - FULL PS&amp;E RECONSTRUCTION")</f>
        <v>DESIGN - FULL PS&amp;E RECONSTRUCTION</v>
      </c>
      <c r="H1796" s="2" t="str">
        <f>CLEAN("CTH J")</f>
        <v>CTH J</v>
      </c>
      <c r="I1796" s="2" t="str">
        <f>CLEAN("206")</f>
        <v>206</v>
      </c>
    </row>
    <row r="1797" spans="1:9" x14ac:dyDescent="0.35">
      <c r="A1797" s="2" t="str">
        <f t="shared" si="289"/>
        <v>GREEN</v>
      </c>
      <c r="B1797" s="2" t="str">
        <f t="shared" si="290"/>
        <v>GREEN COUNTY</v>
      </c>
      <c r="C1797" s="2" t="s">
        <v>72</v>
      </c>
      <c r="D1797" s="2" t="str">
        <f>CLEAN("5605-00-74")</f>
        <v>5605-00-74</v>
      </c>
      <c r="E1797" s="3" t="str">
        <f>CLEAN("C BROADHEAD - V ALBANY (CTH E)")</f>
        <v>C BROADHEAD - V ALBANY (CTH E)</v>
      </c>
      <c r="F1797" s="3" t="str">
        <f>CLEAN("BR NORWEGIAN CREEK BRIDGE B-23-0185")</f>
        <v>BR NORWEGIAN CREEK BRIDGE B-23-0185</v>
      </c>
      <c r="G1797" s="3" t="str">
        <f>CLEAN("CONST OPS/BRIDGE REPLACEMENT")</f>
        <v>CONST OPS/BRIDGE REPLACEMENT</v>
      </c>
      <c r="H1797" s="2" t="str">
        <f>CLEAN("CTH E")</f>
        <v>CTH E</v>
      </c>
      <c r="I1797" s="2" t="str">
        <f t="shared" ref="I1797:I1808" si="291">CLEAN("205")</f>
        <v>205</v>
      </c>
    </row>
    <row r="1798" spans="1:9" x14ac:dyDescent="0.35">
      <c r="A1798" s="2" t="str">
        <f t="shared" si="289"/>
        <v>GREEN</v>
      </c>
      <c r="B1798" s="2" t="str">
        <f t="shared" si="290"/>
        <v>GREEN COUNTY</v>
      </c>
      <c r="C1798" s="2" t="s">
        <v>1773</v>
      </c>
      <c r="D1798" s="2" t="str">
        <f>CLEAN("5646-00-06")</f>
        <v>5646-00-06</v>
      </c>
      <c r="E1798" s="3" t="str">
        <f>CLEAN("TOWN OF ADAMS  PRAIRIE VIEW RD")</f>
        <v>TOWN OF ADAMS  PRAIRIE VIEW RD</v>
      </c>
      <c r="F1798" s="3" t="str">
        <f>CLEAN("DOUGHERTY CREEK BRIDGE  P-23-0903")</f>
        <v>DOUGHERTY CREEK BRIDGE  P-23-0903</v>
      </c>
      <c r="G1798" s="3" t="str">
        <f>CLEAN("DESIGN/BRIDGE REPLACEMENT")</f>
        <v>DESIGN/BRIDGE REPLACEMENT</v>
      </c>
      <c r="H1798" s="2" t="str">
        <f>CLEAN("LOC STR")</f>
        <v>LOC STR</v>
      </c>
      <c r="I1798" s="2" t="str">
        <f t="shared" si="291"/>
        <v>205</v>
      </c>
    </row>
    <row r="1799" spans="1:9" x14ac:dyDescent="0.35">
      <c r="A1799" s="2" t="str">
        <f t="shared" si="289"/>
        <v>GREEN</v>
      </c>
      <c r="B1799" s="2" t="str">
        <f t="shared" si="290"/>
        <v>GREEN COUNTY</v>
      </c>
      <c r="C1799" s="2" t="s">
        <v>1763</v>
      </c>
      <c r="D1799" s="2" t="str">
        <f>CLEAN("5646-00-07")</f>
        <v>5646-00-07</v>
      </c>
      <c r="E1799" s="3" t="str">
        <f>CLEAN("STH 81 - CTH C (CTH M)")</f>
        <v>STH 81 - CTH C (CTH M)</v>
      </c>
      <c r="F1799" s="3" t="str">
        <f>CLEAN("BRAEZELS BRANCH BRIDGE P-23-0091")</f>
        <v>BRAEZELS BRANCH BRIDGE P-23-0091</v>
      </c>
      <c r="G1799" s="3" t="str">
        <f>CLEAN("DESIGN/BRIDGE REPLACEMENT")</f>
        <v>DESIGN/BRIDGE REPLACEMENT</v>
      </c>
      <c r="H1799" s="2" t="str">
        <f>CLEAN("CTH M")</f>
        <v>CTH M</v>
      </c>
      <c r="I1799" s="2" t="str">
        <f t="shared" si="291"/>
        <v>205</v>
      </c>
    </row>
    <row r="1800" spans="1:9" x14ac:dyDescent="0.35">
      <c r="A1800" s="2" t="str">
        <f t="shared" si="289"/>
        <v>GREEN</v>
      </c>
      <c r="B1800" s="2" t="str">
        <f t="shared" si="290"/>
        <v>GREEN COUNTY</v>
      </c>
      <c r="C1800" s="2" t="s">
        <v>89</v>
      </c>
      <c r="D1800" s="2" t="str">
        <f>CLEAN("5646-00-76")</f>
        <v>5646-00-76</v>
      </c>
      <c r="E1800" s="3" t="str">
        <f>CLEAN("TOWN OF ADAMS  PRAIRIE VIEW RD")</f>
        <v>TOWN OF ADAMS  PRAIRIE VIEW RD</v>
      </c>
      <c r="F1800" s="3" t="str">
        <f>CLEAN("DOUGHERTY CREEK BRIDGE  B-23-0180")</f>
        <v>DOUGHERTY CREEK BRIDGE  B-23-0180</v>
      </c>
      <c r="G1800" s="3" t="str">
        <f>CLEAN("CONST OPS/BRIDGE REPLACEMENT")</f>
        <v>CONST OPS/BRIDGE REPLACEMENT</v>
      </c>
      <c r="H1800" s="2" t="str">
        <f>CLEAN("LOC STR")</f>
        <v>LOC STR</v>
      </c>
      <c r="I1800" s="2" t="str">
        <f t="shared" si="291"/>
        <v>205</v>
      </c>
    </row>
    <row r="1801" spans="1:9" x14ac:dyDescent="0.35">
      <c r="A1801" s="2" t="str">
        <f t="shared" si="289"/>
        <v>GREEN</v>
      </c>
      <c r="B1801" s="2" t="str">
        <f t="shared" si="290"/>
        <v>GREEN COUNTY</v>
      </c>
      <c r="C1801" s="2" t="s">
        <v>76</v>
      </c>
      <c r="D1801" s="2" t="str">
        <f>CLEAN("5646-00-77")</f>
        <v>5646-00-77</v>
      </c>
      <c r="E1801" s="3" t="str">
        <f>CLEAN("STH 81 - CTH C (CTH M)")</f>
        <v>STH 81 - CTH C (CTH M)</v>
      </c>
      <c r="F1801" s="3" t="str">
        <f>CLEAN("BRAEZELS BRANCH BRIDGE B-23-0183")</f>
        <v>BRAEZELS BRANCH BRIDGE B-23-0183</v>
      </c>
      <c r="G1801" s="3" t="str">
        <f>CLEAN("CONST OPS/BRIDGE REPLACEMENT")</f>
        <v>CONST OPS/BRIDGE REPLACEMENT</v>
      </c>
      <c r="H1801" s="2" t="str">
        <f>CLEAN("CTH M")</f>
        <v>CTH M</v>
      </c>
      <c r="I1801" s="2" t="str">
        <f t="shared" si="291"/>
        <v>205</v>
      </c>
    </row>
    <row r="1802" spans="1:9" x14ac:dyDescent="0.35">
      <c r="A1802" s="2" t="str">
        <f t="shared" si="289"/>
        <v>GREEN</v>
      </c>
      <c r="B1802" s="2" t="str">
        <f t="shared" si="290"/>
        <v>GREEN COUNTY</v>
      </c>
      <c r="C1802" s="2" t="s">
        <v>1814</v>
      </c>
      <c r="D1802" s="2" t="str">
        <f>CLEAN("5669-00-05")</f>
        <v>5669-00-05</v>
      </c>
      <c r="E1802" s="3" t="str">
        <f>CLEAN("TOWN OF YORK  BADGER ROAD")</f>
        <v>TOWN OF YORK  BADGER ROAD</v>
      </c>
      <c r="F1802" s="3" t="str">
        <f>CLEAN("SAWMILL CREEK BRIDGE P-23-0938")</f>
        <v>SAWMILL CREEK BRIDGE P-23-0938</v>
      </c>
      <c r="G1802" s="3" t="str">
        <f>CLEAN("DESIGN/BRIDGE REPLACEMENT")</f>
        <v>DESIGN/BRIDGE REPLACEMENT</v>
      </c>
      <c r="H1802" s="2" t="str">
        <f>CLEAN("LOC STR")</f>
        <v>LOC STR</v>
      </c>
      <c r="I1802" s="2" t="str">
        <f t="shared" si="291"/>
        <v>205</v>
      </c>
    </row>
    <row r="1803" spans="1:9" x14ac:dyDescent="0.35">
      <c r="A1803" s="2" t="str">
        <f t="shared" si="289"/>
        <v>GREEN</v>
      </c>
      <c r="B1803" s="2" t="str">
        <f t="shared" si="290"/>
        <v>GREEN COUNTY</v>
      </c>
      <c r="C1803" s="2" t="s">
        <v>1759</v>
      </c>
      <c r="D1803" s="2" t="str">
        <f>CLEAN("5687-00-04")</f>
        <v>5687-00-04</v>
      </c>
      <c r="E1803" s="3" t="str">
        <f>CLEAN("TOWN OF JEFFERSON  TWIN GROVE ROAD")</f>
        <v>TOWN OF JEFFERSON  TWIN GROVE ROAD</v>
      </c>
      <c r="F1803" s="3" t="str">
        <f>CLEAN("BR RICHLAND CREEK BRIDGE P-23-0055")</f>
        <v>BR RICHLAND CREEK BRIDGE P-23-0055</v>
      </c>
      <c r="G1803" s="3" t="str">
        <f>CLEAN("DESIGN/BRIDGE REPLACEMENT")</f>
        <v>DESIGN/BRIDGE REPLACEMENT</v>
      </c>
      <c r="H1803" s="2" t="str">
        <f>CLEAN("LOC STR")</f>
        <v>LOC STR</v>
      </c>
      <c r="I1803" s="2" t="str">
        <f t="shared" si="291"/>
        <v>205</v>
      </c>
    </row>
    <row r="1804" spans="1:9" x14ac:dyDescent="0.35">
      <c r="A1804" s="2" t="str">
        <f t="shared" si="289"/>
        <v>GREEN</v>
      </c>
      <c r="B1804" s="2" t="str">
        <f t="shared" si="290"/>
        <v>GREEN COUNTY</v>
      </c>
      <c r="C1804" s="2" t="s">
        <v>142</v>
      </c>
      <c r="D1804" s="2" t="str">
        <f>CLEAN("5687-00-72")</f>
        <v>5687-00-72</v>
      </c>
      <c r="E1804" s="3" t="str">
        <f>CLEAN("JEFFERSON &amp; CLARNO  FIVE CORNER RD")</f>
        <v>JEFFERSON &amp; CLARNO  FIVE CORNER RD</v>
      </c>
      <c r="F1804" s="3" t="str">
        <f>CLEAN("WSOR RR BRIDGE B-23-0171")</f>
        <v>WSOR RR BRIDGE B-23-0171</v>
      </c>
      <c r="G1804" s="3" t="str">
        <f>CLEAN("CONST OPS/BRIDGE REPLACEMENT")</f>
        <v>CONST OPS/BRIDGE REPLACEMENT</v>
      </c>
      <c r="H1804" s="2" t="str">
        <f>CLEAN("LOC STR")</f>
        <v>LOC STR</v>
      </c>
      <c r="I1804" s="2" t="str">
        <f t="shared" si="291"/>
        <v>205</v>
      </c>
    </row>
    <row r="1805" spans="1:9" x14ac:dyDescent="0.35">
      <c r="A1805" s="2" t="str">
        <f t="shared" si="289"/>
        <v>GREEN</v>
      </c>
      <c r="B1805" s="2" t="str">
        <f t="shared" si="290"/>
        <v>GREEN COUNTY</v>
      </c>
      <c r="C1805" s="2" t="s">
        <v>1793</v>
      </c>
      <c r="D1805" s="2" t="str">
        <f>CLEAN("5717-00-01")</f>
        <v>5717-00-01</v>
      </c>
      <c r="E1805" s="3" t="str">
        <f>CLEAN("TOWN OF EXETER  AIRPORT ROAD")</f>
        <v>TOWN OF EXETER  AIRPORT ROAD</v>
      </c>
      <c r="F1805" s="3" t="str">
        <f>CLEAN("LITTLE SUGAR RIVER BR P-23-0911")</f>
        <v>LITTLE SUGAR RIVER BR P-23-0911</v>
      </c>
      <c r="G1805" s="3" t="str">
        <f>CLEAN("DESIGN/BRIDGE REPLACEMENT")</f>
        <v>DESIGN/BRIDGE REPLACEMENT</v>
      </c>
      <c r="H1805" s="2" t="str">
        <f>CLEAN("LOC STR")</f>
        <v>LOC STR</v>
      </c>
      <c r="I1805" s="2" t="str">
        <f t="shared" si="291"/>
        <v>205</v>
      </c>
    </row>
    <row r="1806" spans="1:9" x14ac:dyDescent="0.35">
      <c r="A1806" s="2" t="str">
        <f t="shared" si="289"/>
        <v>GREEN</v>
      </c>
      <c r="B1806" s="2" t="str">
        <f t="shared" si="290"/>
        <v>GREEN COUNTY</v>
      </c>
      <c r="C1806" s="2" t="s">
        <v>110</v>
      </c>
      <c r="D1806" s="2" t="str">
        <f>CLEAN("5717-00-70")</f>
        <v>5717-00-70</v>
      </c>
      <c r="E1806" s="3" t="str">
        <f>CLEAN("TOWN OF EXETER  AIRPORT ROAD")</f>
        <v>TOWN OF EXETER  AIRPORT ROAD</v>
      </c>
      <c r="F1806" s="3" t="str">
        <f>CLEAN("LITTLE SUGAR RIVER BR B-23-0186")</f>
        <v>LITTLE SUGAR RIVER BR B-23-0186</v>
      </c>
      <c r="G1806" s="3" t="str">
        <f>CLEAN("CONST OPS/BRIDGE REPLACEMENT")</f>
        <v>CONST OPS/BRIDGE REPLACEMENT</v>
      </c>
      <c r="H1806" s="2" t="str">
        <f>CLEAN("LOC STR")</f>
        <v>LOC STR</v>
      </c>
      <c r="I1806" s="2" t="str">
        <f t="shared" si="291"/>
        <v>205</v>
      </c>
    </row>
    <row r="1807" spans="1:9" x14ac:dyDescent="0.35">
      <c r="A1807" s="2" t="str">
        <f t="shared" si="289"/>
        <v>GREEN</v>
      </c>
      <c r="B1807" s="2" t="str">
        <f t="shared" si="290"/>
        <v>GREEN COUNTY</v>
      </c>
      <c r="C1807" s="2" t="s">
        <v>1785</v>
      </c>
      <c r="D1807" s="2" t="str">
        <f>CLEAN("5962-00-00")</f>
        <v>5962-00-00</v>
      </c>
      <c r="E1807" s="3" t="str">
        <f>CLEAN("CTH M - STH 81")</f>
        <v>CTH M - STH 81</v>
      </c>
      <c r="F1807" s="3" t="str">
        <f>CLEAN("JORDAN CREEK BRIDGE  P-23-0150")</f>
        <v>JORDAN CREEK BRIDGE  P-23-0150</v>
      </c>
      <c r="G1807" s="3" t="str">
        <f>CLEAN("DESIGN/BRIDGE REPLACEMENT")</f>
        <v>DESIGN/BRIDGE REPLACEMENT</v>
      </c>
      <c r="H1807" s="2" t="str">
        <f>CLEAN("CTH Y")</f>
        <v>CTH Y</v>
      </c>
      <c r="I1807" s="2" t="str">
        <f t="shared" si="291"/>
        <v>205</v>
      </c>
    </row>
    <row r="1808" spans="1:9" x14ac:dyDescent="0.35">
      <c r="A1808" s="2" t="str">
        <f t="shared" si="289"/>
        <v>GREEN</v>
      </c>
      <c r="B1808" s="2" t="str">
        <f t="shared" si="290"/>
        <v>GREEN COUNTY</v>
      </c>
      <c r="C1808" s="2" t="s">
        <v>99</v>
      </c>
      <c r="D1808" s="2" t="str">
        <f>CLEAN("5962-00-70")</f>
        <v>5962-00-70</v>
      </c>
      <c r="E1808" s="3" t="str">
        <f>CLEAN("CTH M - STH 81")</f>
        <v>CTH M - STH 81</v>
      </c>
      <c r="F1808" s="3" t="str">
        <f>CLEAN("JORDAN CREEK BRIDGE  B-23-0179")</f>
        <v>JORDAN CREEK BRIDGE  B-23-0179</v>
      </c>
      <c r="G1808" s="3" t="str">
        <f>CLEAN("CONST OPS/BRIDGE REPLACEMENT")</f>
        <v>CONST OPS/BRIDGE REPLACEMENT</v>
      </c>
      <c r="H1808" s="2" t="str">
        <f>CLEAN("CTH Y")</f>
        <v>CTH Y</v>
      </c>
      <c r="I1808" s="2" t="str">
        <f t="shared" si="291"/>
        <v>205</v>
      </c>
    </row>
    <row r="1809" spans="1:9" x14ac:dyDescent="0.35">
      <c r="A1809" s="2" t="str">
        <f t="shared" ref="A1809:A1814" si="292">CLEAN("GREEN LAKE")</f>
        <v>GREEN LAKE</v>
      </c>
      <c r="B1809" s="2" t="str">
        <f>CLEAN("GREEN LAKE COUNTY")</f>
        <v>GREEN LAKE COUNTY</v>
      </c>
      <c r="C1809" s="2" t="s">
        <v>1726</v>
      </c>
      <c r="D1809" s="2" t="str">
        <f>CLEAN("6536-03-03")</f>
        <v>6536-03-03</v>
      </c>
      <c r="E1809" s="3" t="str">
        <f>CLEAN("STH 33 - STH 44")</f>
        <v>STH 33 - STH 44</v>
      </c>
      <c r="F1809" s="3" t="str">
        <f>CLEAN("CTH AW TO CTH I")</f>
        <v>CTH AW TO CTH I</v>
      </c>
      <c r="G1809" s="3" t="str">
        <f>CLEAN("DESIGN OVERSITE/RESURFACE")</f>
        <v>DESIGN OVERSITE/RESURFACE</v>
      </c>
      <c r="H1809" s="2" t="str">
        <f>CLEAN("CTH A")</f>
        <v>CTH A</v>
      </c>
      <c r="I1809" s="2" t="str">
        <f>CLEAN("206")</f>
        <v>206</v>
      </c>
    </row>
    <row r="1810" spans="1:9" x14ac:dyDescent="0.35">
      <c r="A1810" s="2" t="str">
        <f t="shared" si="292"/>
        <v>GREEN LAKE</v>
      </c>
      <c r="B1810" s="2" t="str">
        <f>CLEAN("GREEN LAKE COUNTY")</f>
        <v>GREEN LAKE COUNTY</v>
      </c>
      <c r="C1810" s="2" t="s">
        <v>1709</v>
      </c>
      <c r="D1810" s="2" t="str">
        <f>CLEAN("6536-03-04")</f>
        <v>6536-03-04</v>
      </c>
      <c r="E1810" s="3" t="str">
        <f>CLEAN("CTH J - STH 49")</f>
        <v>CTH J - STH 49</v>
      </c>
      <c r="F1810" s="3" t="str">
        <f>CLEAN("CTH AA TO CTH V")</f>
        <v>CTH AA TO CTH V</v>
      </c>
      <c r="G1810" s="3" t="str">
        <f>CLEAN("DESIGN OVERSITE/RECONSTRUCT")</f>
        <v>DESIGN OVERSITE/RECONSTRUCT</v>
      </c>
      <c r="H1810" s="2" t="str">
        <f>CLEAN("CTH A")</f>
        <v>CTH A</v>
      </c>
      <c r="I1810" s="2" t="str">
        <f>CLEAN("206")</f>
        <v>206</v>
      </c>
    </row>
    <row r="1811" spans="1:9" x14ac:dyDescent="0.35">
      <c r="A1811" s="2" t="str">
        <f t="shared" si="292"/>
        <v>GREEN LAKE</v>
      </c>
      <c r="B1811" s="2" t="str">
        <f>CLEAN("GREEN LAKE COUNTY")</f>
        <v>GREEN LAKE COUNTY</v>
      </c>
      <c r="C1811" s="2" t="s">
        <v>957</v>
      </c>
      <c r="D1811" s="2" t="str">
        <f>CLEAN("6536-03-73")</f>
        <v>6536-03-73</v>
      </c>
      <c r="E1811" s="3" t="str">
        <f>CLEAN("STH 33 - STH 44")</f>
        <v>STH 33 - STH 44</v>
      </c>
      <c r="F1811" s="3" t="str">
        <f>CLEAN("CTH AW TO CTH I")</f>
        <v>CTH AW TO CTH I</v>
      </c>
      <c r="G1811" s="3" t="str">
        <f>CLEAN("CONST/RESURFACE")</f>
        <v>CONST/RESURFACE</v>
      </c>
      <c r="H1811" s="2" t="str">
        <f>CLEAN("CTH A")</f>
        <v>CTH A</v>
      </c>
      <c r="I1811" s="2" t="str">
        <f>CLEAN("206")</f>
        <v>206</v>
      </c>
    </row>
    <row r="1812" spans="1:9" x14ac:dyDescent="0.35">
      <c r="A1812" s="2" t="str">
        <f t="shared" si="292"/>
        <v>GREEN LAKE</v>
      </c>
      <c r="B1812" s="2" t="str">
        <f>CLEAN("GREEN LAKE COUNTY")</f>
        <v>GREEN LAKE COUNTY</v>
      </c>
      <c r="C1812" s="2" t="s">
        <v>763</v>
      </c>
      <c r="D1812" s="2" t="str">
        <f>CLEAN("6536-03-74")</f>
        <v>6536-03-74</v>
      </c>
      <c r="E1812" s="3" t="str">
        <f>CLEAN("CTH J - STH 49")</f>
        <v>CTH J - STH 49</v>
      </c>
      <c r="F1812" s="3" t="str">
        <f>CLEAN("CTH AA TO CTH V")</f>
        <v>CTH AA TO CTH V</v>
      </c>
      <c r="G1812" s="3" t="str">
        <f>CLEAN("CONST/RECONSTRUCT")</f>
        <v>CONST/RECONSTRUCT</v>
      </c>
      <c r="H1812" s="2" t="str">
        <f>CLEAN("CTH A")</f>
        <v>CTH A</v>
      </c>
      <c r="I1812" s="2" t="str">
        <f>CLEAN("206")</f>
        <v>206</v>
      </c>
    </row>
    <row r="1813" spans="1:9" x14ac:dyDescent="0.35">
      <c r="A1813" s="2" t="str">
        <f t="shared" si="292"/>
        <v>GREEN LAKE</v>
      </c>
      <c r="B1813" s="2" t="str">
        <f>CLEAN("GREEN LAKE COUNTY")</f>
        <v>GREEN LAKE COUNTY</v>
      </c>
      <c r="C1813" s="2" t="s">
        <v>894</v>
      </c>
      <c r="D1813" s="2" t="str">
        <f>CLEAN("6597-00-70")</f>
        <v>6597-00-70</v>
      </c>
      <c r="E1813" s="3" t="str">
        <f>CLEAN("CTH A - CTH Q")</f>
        <v>CTH A - CTH Q</v>
      </c>
      <c r="F1813" s="3" t="str">
        <f>CLEAN("GRAND RIVER BRIDGE B-24-0044")</f>
        <v>GRAND RIVER BRIDGE B-24-0044</v>
      </c>
      <c r="G1813" s="3" t="str">
        <f>CLEAN("CONST/REPLACEMENT")</f>
        <v>CONST/REPLACEMENT</v>
      </c>
      <c r="H1813" s="2" t="str">
        <f>CLEAN("CTH S")</f>
        <v>CTH S</v>
      </c>
      <c r="I1813" s="2" t="str">
        <f>CLEAN("205")</f>
        <v>205</v>
      </c>
    </row>
    <row r="1814" spans="1:9" x14ac:dyDescent="0.35">
      <c r="A1814" s="2" t="str">
        <f t="shared" si="292"/>
        <v>GREEN LAKE</v>
      </c>
      <c r="B1814" s="2" t="str">
        <f>CLEAN("GREEN LAKE SCHOOL DISTRICT")</f>
        <v>GREEN LAKE SCHOOL DISTRICT</v>
      </c>
      <c r="C1814" s="2" t="s">
        <v>3345</v>
      </c>
      <c r="D1814" s="2" t="str">
        <f>CLEAN("1009-01-37")</f>
        <v>1009-01-37</v>
      </c>
      <c r="E1814" s="3" t="str">
        <f>CLEAN("Green Lake SRTS Program")</f>
        <v>Green Lake SRTS Program</v>
      </c>
      <c r="F1814" s="3" t="str">
        <f>CLEAN("GREEN LAKE SCHOOL DISTRICT")</f>
        <v>GREEN LAKE SCHOOL DISTRICT</v>
      </c>
      <c r="G1814" s="3" t="str">
        <f>CLEAN("SRTS PROGRAM")</f>
        <v>SRTS PROGRAM</v>
      </c>
      <c r="H1814" s="2" t="str">
        <f>CLEAN("NON HWY")</f>
        <v>NON HWY</v>
      </c>
      <c r="I1814" s="2" t="str">
        <f>CLEAN("290")</f>
        <v>290</v>
      </c>
    </row>
    <row r="1815" spans="1:9" x14ac:dyDescent="0.35">
      <c r="A1815" s="2" t="str">
        <f>CLEAN("STATEWIDE")</f>
        <v>STATEWIDE</v>
      </c>
      <c r="B1815" s="2" t="str">
        <f>CLEAN("HO CHUNK GAMING WISCONSIN DELLS")</f>
        <v>HO CHUNK GAMING WISCONSIN DELLS</v>
      </c>
      <c r="C1815" s="2" t="s">
        <v>1379</v>
      </c>
      <c r="D1815" s="2" t="str">
        <f>CLEAN("1000-20-78")</f>
        <v>1000-20-78</v>
      </c>
      <c r="E1815" s="3" t="str">
        <f>CLEAN("STATEWIDE TYPE 1 SIGN REPLACEMENT")</f>
        <v>STATEWIDE TYPE 1 SIGN REPLACEMENT</v>
      </c>
      <c r="F1815" s="3" t="str">
        <f>CLEAN("LOCATIONS ON STN PER ANNUAL PLAN")</f>
        <v>LOCATIONS ON STN PER ANNUAL PLAN</v>
      </c>
      <c r="G1815" s="3" t="str">
        <f>CLEAN("CONSTRUCTION/SIGN REPLACEMENTS")</f>
        <v>CONSTRUCTION/SIGN REPLACEMENTS</v>
      </c>
      <c r="H1815" s="2" t="str">
        <f>CLEAN("VAR HWY")</f>
        <v>VAR HWY</v>
      </c>
      <c r="I1815" s="2" t="str">
        <f>CLEAN("305")</f>
        <v>305</v>
      </c>
    </row>
    <row r="1816" spans="1:9" x14ac:dyDescent="0.35">
      <c r="A1816" s="2" t="str">
        <f>CLEAN("DANE")</f>
        <v>DANE</v>
      </c>
      <c r="B1816" s="2" t="str">
        <f>CLEAN("HO-CHUNK NATION")</f>
        <v>HO-CHUNK NATION</v>
      </c>
      <c r="C1816" s="2" t="s">
        <v>1334</v>
      </c>
      <c r="D1816" s="2" t="str">
        <f>CLEAN("3080-01-76")</f>
        <v>3080-01-76</v>
      </c>
      <c r="E1816" s="3" t="str">
        <f>CLEAN("MADISON - CAMBRIDGE")</f>
        <v>MADISON - CAMBRIDGE</v>
      </c>
      <c r="F1816" s="3" t="str">
        <f>CLEAN("CTH AB INTERCHANGE")</f>
        <v>CTH AB INTERCHANGE</v>
      </c>
      <c r="G1816" s="3" t="str">
        <f>CLEAN("CONSTRUCTION/RECSTE")</f>
        <v>CONSTRUCTION/RECSTE</v>
      </c>
      <c r="H1816" s="2" t="str">
        <f>CLEAN("USH 012")</f>
        <v>USH 012</v>
      </c>
      <c r="I1816" s="2" t="str">
        <f>CLEAN("303")</f>
        <v>303</v>
      </c>
    </row>
    <row r="1817" spans="1:9" x14ac:dyDescent="0.35">
      <c r="A1817" s="2" t="str">
        <f t="shared" ref="A1817:A1836" si="293">CLEAN("IOWA")</f>
        <v>IOWA</v>
      </c>
      <c r="B1817" s="2" t="str">
        <f t="shared" ref="B1817:B1836" si="294">CLEAN("IOWA COUNTY")</f>
        <v>IOWA COUNTY</v>
      </c>
      <c r="C1817" s="2" t="s">
        <v>2193</v>
      </c>
      <c r="D1817" s="2" t="str">
        <f>CLEAN("5578-00-01")</f>
        <v>5578-00-01</v>
      </c>
      <c r="E1817" s="3" t="str">
        <f>CLEAN("STH 23 - USH 14 (CTH C)")</f>
        <v>STH 23 - USH 14 (CTH C)</v>
      </c>
      <c r="F1817" s="3" t="str">
        <f>CLEAN("GOLF COURSE ROAD TO USH 14")</f>
        <v>GOLF COURSE ROAD TO USH 14</v>
      </c>
      <c r="G1817" s="3" t="str">
        <f>CLEAN("DESIGN/PLAN CHECK REVIEW/RECST")</f>
        <v>DESIGN/PLAN CHECK REVIEW/RECST</v>
      </c>
      <c r="H1817" s="2" t="str">
        <f>CLEAN("CTH C")</f>
        <v>CTH C</v>
      </c>
      <c r="I1817" s="2" t="str">
        <f>CLEAN("206")</f>
        <v>206</v>
      </c>
    </row>
    <row r="1818" spans="1:9" x14ac:dyDescent="0.35">
      <c r="A1818" s="2" t="str">
        <f t="shared" si="293"/>
        <v>IOWA</v>
      </c>
      <c r="B1818" s="2" t="str">
        <f t="shared" si="294"/>
        <v>IOWA COUNTY</v>
      </c>
      <c r="C1818" s="2" t="s">
        <v>1879</v>
      </c>
      <c r="D1818" s="2" t="str">
        <f>CLEAN("5618-00-03")</f>
        <v>5618-00-03</v>
      </c>
      <c r="E1818" s="3" t="str">
        <f>CLEAN("TOWN OF WYOMING  LAKE VIEW ROAD")</f>
        <v>TOWN OF WYOMING  LAKE VIEW ROAD</v>
      </c>
      <c r="F1818" s="3" t="str">
        <f>CLEAN("SNEED CREEK BRIDGE P-25-0078")</f>
        <v>SNEED CREEK BRIDGE P-25-0078</v>
      </c>
      <c r="G1818" s="3" t="str">
        <f>CLEAN("DESIGN/FULL PS&amp;E BRRPL")</f>
        <v>DESIGN/FULL PS&amp;E BRRPL</v>
      </c>
      <c r="H1818" s="2" t="str">
        <f>CLEAN("LOC STR")</f>
        <v>LOC STR</v>
      </c>
      <c r="I1818" s="2" t="str">
        <f>CLEAN("205")</f>
        <v>205</v>
      </c>
    </row>
    <row r="1819" spans="1:9" x14ac:dyDescent="0.35">
      <c r="A1819" s="2" t="str">
        <f t="shared" si="293"/>
        <v>IOWA</v>
      </c>
      <c r="B1819" s="2" t="str">
        <f t="shared" si="294"/>
        <v>IOWA COUNTY</v>
      </c>
      <c r="C1819" s="2" t="s">
        <v>131</v>
      </c>
      <c r="D1819" s="2" t="str">
        <f>CLEAN("5618-00-73")</f>
        <v>5618-00-73</v>
      </c>
      <c r="E1819" s="3" t="str">
        <f>CLEAN("TOWN OF WYOMING  LAKE VIEW ROAD")</f>
        <v>TOWN OF WYOMING  LAKE VIEW ROAD</v>
      </c>
      <c r="F1819" s="3" t="str">
        <f>CLEAN("SNEED CREEK BRIDGE B-25-0197")</f>
        <v>SNEED CREEK BRIDGE B-25-0197</v>
      </c>
      <c r="G1819" s="3" t="str">
        <f>CLEAN("CONST OPS/BRIDGE REPLACEMENT")</f>
        <v>CONST OPS/BRIDGE REPLACEMENT</v>
      </c>
      <c r="H1819" s="2" t="str">
        <f>CLEAN("LOC STR")</f>
        <v>LOC STR</v>
      </c>
      <c r="I1819" s="2" t="str">
        <f>CLEAN("205")</f>
        <v>205</v>
      </c>
    </row>
    <row r="1820" spans="1:9" x14ac:dyDescent="0.35">
      <c r="A1820" s="2" t="str">
        <f t="shared" si="293"/>
        <v>IOWA</v>
      </c>
      <c r="B1820" s="2" t="str">
        <f t="shared" si="294"/>
        <v>IOWA COUNTY</v>
      </c>
      <c r="C1820" s="2" t="s">
        <v>1499</v>
      </c>
      <c r="D1820" s="2" t="str">
        <f>CLEAN("5626-00-03")</f>
        <v>5626-00-03</v>
      </c>
      <c r="E1820" s="3" t="str">
        <f>CLEAN("CTH T - BIRCH LAKE MULTI-USE PATH")</f>
        <v>CTH T - BIRCH LAKE MULTI-USE PATH</v>
      </c>
      <c r="F1820" s="3" t="str">
        <f>CLEAN("WOODS STREET TO BIRCH LAKE PARK")</f>
        <v>WOODS STREET TO BIRCH LAKE PARK</v>
      </c>
      <c r="G1820" s="3" t="str">
        <f>CLEAN("DESIGN - FULL PS&amp;E MULTI-USE PATH")</f>
        <v>DESIGN - FULL PS&amp;E MULTI-USE PATH</v>
      </c>
      <c r="H1820" s="2" t="str">
        <f>CLEAN("NON HWY")</f>
        <v>NON HWY</v>
      </c>
      <c r="I1820" s="2" t="str">
        <f>CLEAN("290")</f>
        <v>290</v>
      </c>
    </row>
    <row r="1821" spans="1:9" x14ac:dyDescent="0.35">
      <c r="A1821" s="2" t="str">
        <f t="shared" si="293"/>
        <v>IOWA</v>
      </c>
      <c r="B1821" s="2" t="str">
        <f t="shared" si="294"/>
        <v>IOWA COUNTY</v>
      </c>
      <c r="C1821" s="2" t="s">
        <v>1500</v>
      </c>
      <c r="D1821" s="2" t="str">
        <f>CLEAN("5626-00-73")</f>
        <v>5626-00-73</v>
      </c>
      <c r="E1821" s="3" t="str">
        <f>CLEAN("CTH T - BIRCH LAKE MULTI-USE PATH")</f>
        <v>CTH T - BIRCH LAKE MULTI-USE PATH</v>
      </c>
      <c r="F1821" s="3" t="str">
        <f>CLEAN("WOODS STREET TO BIRCH LAKE PARK")</f>
        <v>WOODS STREET TO BIRCH LAKE PARK</v>
      </c>
      <c r="G1821" s="3" t="str">
        <f>CLEAN("DESIGN - FULL PS&amp;E MULTI-USE PATH")</f>
        <v>DESIGN - FULL PS&amp;E MULTI-USE PATH</v>
      </c>
      <c r="H1821" s="2" t="str">
        <f>CLEAN("NON HWY")</f>
        <v>NON HWY</v>
      </c>
      <c r="I1821" s="2" t="str">
        <f>CLEAN("290")</f>
        <v>290</v>
      </c>
    </row>
    <row r="1822" spans="1:9" x14ac:dyDescent="0.35">
      <c r="A1822" s="2" t="str">
        <f t="shared" si="293"/>
        <v>IOWA</v>
      </c>
      <c r="B1822" s="2" t="str">
        <f t="shared" si="294"/>
        <v>IOWA COUNTY</v>
      </c>
      <c r="C1822" s="2" t="s">
        <v>1524</v>
      </c>
      <c r="D1822" s="2" t="str">
        <f>CLEAN("5647-00-05")</f>
        <v>5647-00-05</v>
      </c>
      <c r="E1822" s="3" t="str">
        <f>CLEAN("USH 151 - CTH H (CTH HHH)")</f>
        <v>USH 151 - CTH H (CTH HHH)</v>
      </c>
      <c r="F1822" s="3" t="str">
        <f>CLEAN("LEVEL STREET TO CTH H")</f>
        <v>LEVEL STREET TO CTH H</v>
      </c>
      <c r="G1822" s="3" t="str">
        <f>CLEAN("DESIGN - FULL PS&amp;E RECONSTRUCTION")</f>
        <v>DESIGN - FULL PS&amp;E RECONSTRUCTION</v>
      </c>
      <c r="H1822" s="2" t="str">
        <f>CLEAN("CTH HHH")</f>
        <v>CTH HHH</v>
      </c>
      <c r="I1822" s="2" t="str">
        <f>CLEAN("206")</f>
        <v>206</v>
      </c>
    </row>
    <row r="1823" spans="1:9" x14ac:dyDescent="0.35">
      <c r="A1823" s="2" t="str">
        <f t="shared" si="293"/>
        <v>IOWA</v>
      </c>
      <c r="B1823" s="2" t="str">
        <f t="shared" si="294"/>
        <v>IOWA COUNTY</v>
      </c>
      <c r="C1823" s="2" t="s">
        <v>2132</v>
      </c>
      <c r="D1823" s="2" t="str">
        <f>CLEAN("5679-00-08")</f>
        <v>5679-00-08</v>
      </c>
      <c r="E1823" s="3" t="str">
        <f>CLEAN("USH 18 - CTH ID (CTH K)")</f>
        <v>USH 18 - CTH ID (CTH K)</v>
      </c>
      <c r="F1823" s="3" t="str">
        <f>CLEAN("USH 18 TO CTH ID")</f>
        <v>USH 18 TO CTH ID</v>
      </c>
      <c r="G1823" s="3" t="str">
        <f>CLEAN("DESIGN/PLAN CHECK REVIEW/PVRPL")</f>
        <v>DESIGN/PLAN CHECK REVIEW/PVRPL</v>
      </c>
      <c r="H1823" s="2" t="str">
        <f>CLEAN("CTH K")</f>
        <v>CTH K</v>
      </c>
      <c r="I1823" s="2" t="str">
        <f>CLEAN("206")</f>
        <v>206</v>
      </c>
    </row>
    <row r="1824" spans="1:9" x14ac:dyDescent="0.35">
      <c r="A1824" s="2" t="str">
        <f t="shared" si="293"/>
        <v>IOWA</v>
      </c>
      <c r="B1824" s="2" t="str">
        <f t="shared" si="294"/>
        <v>IOWA COUNTY</v>
      </c>
      <c r="C1824" s="2" t="s">
        <v>1447</v>
      </c>
      <c r="D1824" s="2" t="str">
        <f>CLEAN("5681-00-03")</f>
        <v>5681-00-03</v>
      </c>
      <c r="E1824" s="3" t="str">
        <f>CLEAN("T MIFFLIN - T LINDEN (CTH E)")</f>
        <v>T MIFFLIN - T LINDEN (CTH E)</v>
      </c>
      <c r="F1824" s="3" t="str">
        <f>CLEAN("E PECATONICA RIVER BRIDGE P-25-0033")</f>
        <v>E PECATONICA RIVER BRIDGE P-25-0033</v>
      </c>
      <c r="G1824" s="3" t="str">
        <f>CLEAN("DESIGN - FULL PS&amp;E BRRPL")</f>
        <v>DESIGN - FULL PS&amp;E BRRPL</v>
      </c>
      <c r="H1824" s="2" t="str">
        <f>CLEAN("CTH E")</f>
        <v>CTH E</v>
      </c>
      <c r="I1824" s="2" t="str">
        <f t="shared" ref="I1824:I1829" si="295">CLEAN("205")</f>
        <v>205</v>
      </c>
    </row>
    <row r="1825" spans="1:9" x14ac:dyDescent="0.35">
      <c r="A1825" s="2" t="str">
        <f t="shared" si="293"/>
        <v>IOWA</v>
      </c>
      <c r="B1825" s="2" t="str">
        <f t="shared" si="294"/>
        <v>IOWA COUNTY</v>
      </c>
      <c r="C1825" s="2" t="s">
        <v>92</v>
      </c>
      <c r="D1825" s="2" t="str">
        <f>CLEAN("5681-00-73")</f>
        <v>5681-00-73</v>
      </c>
      <c r="E1825" s="3" t="str">
        <f>CLEAN("T MIFFLIN - T LINDEN (CTH E)")</f>
        <v>T MIFFLIN - T LINDEN (CTH E)</v>
      </c>
      <c r="F1825" s="3" t="str">
        <f>CLEAN("E PECATONICA RIVER BRIDGE B-25-0199")</f>
        <v>E PECATONICA RIVER BRIDGE B-25-0199</v>
      </c>
      <c r="G1825" s="3" t="str">
        <f>CLEAN("CONST OPS/BRIDGE REPLACEMENT")</f>
        <v>CONST OPS/BRIDGE REPLACEMENT</v>
      </c>
      <c r="H1825" s="2" t="str">
        <f>CLEAN("CTH E")</f>
        <v>CTH E</v>
      </c>
      <c r="I1825" s="2" t="str">
        <f t="shared" si="295"/>
        <v>205</v>
      </c>
    </row>
    <row r="1826" spans="1:9" x14ac:dyDescent="0.35">
      <c r="A1826" s="2" t="str">
        <f t="shared" si="293"/>
        <v>IOWA</v>
      </c>
      <c r="B1826" s="2" t="str">
        <f t="shared" si="294"/>
        <v>IOWA COUNTY</v>
      </c>
      <c r="C1826" s="2" t="s">
        <v>120</v>
      </c>
      <c r="D1826" s="2" t="str">
        <f>CLEAN("5682-00-75")</f>
        <v>5682-00-75</v>
      </c>
      <c r="E1826" s="3" t="str">
        <f>CLEAN("CTH Q - CTH I")</f>
        <v>CTH Q - CTH I</v>
      </c>
      <c r="F1826" s="3" t="str">
        <f>CLEAN("OTTER CREEK BRIDGE  B-25-0191")</f>
        <v>OTTER CREEK BRIDGE  B-25-0191</v>
      </c>
      <c r="G1826" s="3" t="str">
        <f>CLEAN("CONST OPS/BRIDGE REPLACEMENT")</f>
        <v>CONST OPS/BRIDGE REPLACEMENT</v>
      </c>
      <c r="H1826" s="2" t="str">
        <f>CLEAN("CTH II")</f>
        <v>CTH II</v>
      </c>
      <c r="I1826" s="2" t="str">
        <f t="shared" si="295"/>
        <v>205</v>
      </c>
    </row>
    <row r="1827" spans="1:9" x14ac:dyDescent="0.35">
      <c r="A1827" s="2" t="str">
        <f t="shared" si="293"/>
        <v>IOWA</v>
      </c>
      <c r="B1827" s="2" t="str">
        <f t="shared" si="294"/>
        <v>IOWA COUNTY</v>
      </c>
      <c r="C1827" s="2" t="s">
        <v>1424</v>
      </c>
      <c r="D1827" s="2" t="str">
        <f>CLEAN("5688-00-06")</f>
        <v>5688-00-06</v>
      </c>
      <c r="E1827" s="3" t="str">
        <f>CLEAN("TOWN OF ARENA  FRAME ROAD")</f>
        <v>TOWN OF ARENA  FRAME ROAD</v>
      </c>
      <c r="F1827" s="3" t="str">
        <f>CLEAN("BLUE MOUNDS CREEK BRIDGE P-25-0904")</f>
        <v>BLUE MOUNDS CREEK BRIDGE P-25-0904</v>
      </c>
      <c r="G1827" s="3" t="str">
        <f>CLEAN("DESIGN - FULL PS&amp;E BRRPL")</f>
        <v>DESIGN - FULL PS&amp;E BRRPL</v>
      </c>
      <c r="H1827" s="2" t="str">
        <f>CLEAN("LOC STR")</f>
        <v>LOC STR</v>
      </c>
      <c r="I1827" s="2" t="str">
        <f t="shared" si="295"/>
        <v>205</v>
      </c>
    </row>
    <row r="1828" spans="1:9" x14ac:dyDescent="0.35">
      <c r="A1828" s="2" t="str">
        <f t="shared" si="293"/>
        <v>IOWA</v>
      </c>
      <c r="B1828" s="2" t="str">
        <f t="shared" si="294"/>
        <v>IOWA COUNTY</v>
      </c>
      <c r="C1828" s="2" t="s">
        <v>140</v>
      </c>
      <c r="D1828" s="2" t="str">
        <f>CLEAN("5688-00-75")</f>
        <v>5688-00-75</v>
      </c>
      <c r="E1828" s="3" t="str">
        <f>CLEAN("CTH K - CTH H")</f>
        <v>CTH K - CTH H</v>
      </c>
      <c r="F1828" s="3" t="str">
        <f>CLEAN("WHITE HOLLOW CR BRIDGE B-25-0178")</f>
        <v>WHITE HOLLOW CR BRIDGE B-25-0178</v>
      </c>
      <c r="G1828" s="3" t="str">
        <f>CLEAN("CONST OPS/BRIDGE REPLACEMENT")</f>
        <v>CONST OPS/BRIDGE REPLACEMENT</v>
      </c>
      <c r="H1828" s="2" t="str">
        <f>CLEAN("CTH HH")</f>
        <v>CTH HH</v>
      </c>
      <c r="I1828" s="2" t="str">
        <f t="shared" si="295"/>
        <v>205</v>
      </c>
    </row>
    <row r="1829" spans="1:9" x14ac:dyDescent="0.35">
      <c r="A1829" s="2" t="str">
        <f t="shared" si="293"/>
        <v>IOWA</v>
      </c>
      <c r="B1829" s="2" t="str">
        <f t="shared" si="294"/>
        <v>IOWA COUNTY</v>
      </c>
      <c r="C1829" s="2" t="s">
        <v>64</v>
      </c>
      <c r="D1829" s="2" t="str">
        <f>CLEAN("5688-00-76")</f>
        <v>5688-00-76</v>
      </c>
      <c r="E1829" s="3" t="str">
        <f>CLEAN("TOWN OF ARENA  FRAME ROAD")</f>
        <v>TOWN OF ARENA  FRAME ROAD</v>
      </c>
      <c r="F1829" s="3" t="str">
        <f>CLEAN("BLUE MOUNDS CREEK BRIDGE B-25-0200")</f>
        <v>BLUE MOUNDS CREEK BRIDGE B-25-0200</v>
      </c>
      <c r="G1829" s="3" t="str">
        <f>CLEAN("CONST OPS/BRIDGE REPLACEMENT")</f>
        <v>CONST OPS/BRIDGE REPLACEMENT</v>
      </c>
      <c r="H1829" s="2" t="str">
        <f>CLEAN("LOC STR")</f>
        <v>LOC STR</v>
      </c>
      <c r="I1829" s="2" t="str">
        <f t="shared" si="295"/>
        <v>205</v>
      </c>
    </row>
    <row r="1830" spans="1:9" x14ac:dyDescent="0.35">
      <c r="A1830" s="2" t="str">
        <f t="shared" si="293"/>
        <v>IOWA</v>
      </c>
      <c r="B1830" s="2" t="str">
        <f t="shared" si="294"/>
        <v>IOWA COUNTY</v>
      </c>
      <c r="C1830" s="2" t="s">
        <v>2218</v>
      </c>
      <c r="D1830" s="2" t="str">
        <f>CLEAN("5921-00-06")</f>
        <v>5921-00-06</v>
      </c>
      <c r="E1830" s="3" t="str">
        <f>CLEAN("MINERAL POINT - DODGEVILLE")</f>
        <v>MINERAL POINT - DODGEVILLE</v>
      </c>
      <c r="F1830" s="3" t="str">
        <f>CLEAN("STH 23 TO WEIDENFELLER ROAD")</f>
        <v>STH 23 TO WEIDENFELLER ROAD</v>
      </c>
      <c r="G1830" s="3" t="str">
        <f>CLEAN("DESIGN/PLAN CHECK REVIEW/RECST")</f>
        <v>DESIGN/PLAN CHECK REVIEW/RECST</v>
      </c>
      <c r="H1830" s="2" t="str">
        <f>CLEAN("CTH YD")</f>
        <v>CTH YD</v>
      </c>
      <c r="I1830" s="2" t="str">
        <f>CLEAN("206")</f>
        <v>206</v>
      </c>
    </row>
    <row r="1831" spans="1:9" x14ac:dyDescent="0.35">
      <c r="A1831" s="2" t="str">
        <f t="shared" si="293"/>
        <v>IOWA</v>
      </c>
      <c r="B1831" s="2" t="str">
        <f t="shared" si="294"/>
        <v>IOWA COUNTY</v>
      </c>
      <c r="C1831" s="2" t="s">
        <v>86</v>
      </c>
      <c r="D1831" s="2" t="str">
        <f>CLEAN("5921-00-74")</f>
        <v>5921-00-74</v>
      </c>
      <c r="E1831" s="3" t="str">
        <f>CLEAN("USH 151 - STH 191")</f>
        <v>USH 151 - STH 191</v>
      </c>
      <c r="F1831" s="3" t="str">
        <f>CLEAN("DODGE BRANCH BRIDGE B-25-0179")</f>
        <v>DODGE BRANCH BRIDGE B-25-0179</v>
      </c>
      <c r="G1831" s="3" t="str">
        <f>CLEAN("CONST OPS/BRIDGE REPLACEMENT")</f>
        <v>CONST OPS/BRIDGE REPLACEMENT</v>
      </c>
      <c r="H1831" s="2" t="str">
        <f>CLEAN("CTH Y")</f>
        <v>CTH Y</v>
      </c>
      <c r="I1831" s="2" t="str">
        <f>CLEAN("205")</f>
        <v>205</v>
      </c>
    </row>
    <row r="1832" spans="1:9" x14ac:dyDescent="0.35">
      <c r="A1832" s="2" t="str">
        <f t="shared" si="293"/>
        <v>IOWA</v>
      </c>
      <c r="B1832" s="2" t="str">
        <f t="shared" si="294"/>
        <v>IOWA COUNTY</v>
      </c>
      <c r="C1832" s="2" t="s">
        <v>264</v>
      </c>
      <c r="D1832" s="2" t="str">
        <f>CLEAN("5921-00-76")</f>
        <v>5921-00-76</v>
      </c>
      <c r="E1832" s="3" t="str">
        <f>CLEAN("MINERAL POINT - DODGEVILLE")</f>
        <v>MINERAL POINT - DODGEVILLE</v>
      </c>
      <c r="F1832" s="3" t="str">
        <f>CLEAN("STH 23 TO WEIDENFELLER ROAD")</f>
        <v>STH 23 TO WEIDENFELLER ROAD</v>
      </c>
      <c r="G1832" s="3" t="str">
        <f>CLEAN("CONST OPS/RECONSTRUCTION")</f>
        <v>CONST OPS/RECONSTRUCTION</v>
      </c>
      <c r="H1832" s="2" t="str">
        <f>CLEAN("CTH YD")</f>
        <v>CTH YD</v>
      </c>
      <c r="I1832" s="2" t="str">
        <f>CLEAN("206")</f>
        <v>206</v>
      </c>
    </row>
    <row r="1833" spans="1:9" x14ac:dyDescent="0.35">
      <c r="A1833" s="2" t="str">
        <f t="shared" si="293"/>
        <v>IOWA</v>
      </c>
      <c r="B1833" s="2" t="str">
        <f t="shared" si="294"/>
        <v>IOWA COUNTY</v>
      </c>
      <c r="C1833" s="2" t="s">
        <v>1877</v>
      </c>
      <c r="D1833" s="2" t="str">
        <f>CLEAN("5958-00-02")</f>
        <v>5958-00-02</v>
      </c>
      <c r="E1833" s="3" t="str">
        <f>CLEAN("CTH E - CTH X (CTH G)")</f>
        <v>CTH E - CTH X (CTH G)</v>
      </c>
      <c r="F1833" s="3" t="str">
        <f>CLEAN("PECATONICA RIVER BRIDGE P-25-0037")</f>
        <v>PECATONICA RIVER BRIDGE P-25-0037</v>
      </c>
      <c r="G1833" s="3" t="str">
        <f>CLEAN("DESIGN/FULL PS&amp;E BRRPL")</f>
        <v>DESIGN/FULL PS&amp;E BRRPL</v>
      </c>
      <c r="H1833" s="2" t="str">
        <f>CLEAN("CTH G")</f>
        <v>CTH G</v>
      </c>
      <c r="I1833" s="2" t="str">
        <f>CLEAN("205")</f>
        <v>205</v>
      </c>
    </row>
    <row r="1834" spans="1:9" x14ac:dyDescent="0.35">
      <c r="A1834" s="2" t="str">
        <f t="shared" si="293"/>
        <v>IOWA</v>
      </c>
      <c r="B1834" s="2" t="str">
        <f t="shared" si="294"/>
        <v>IOWA COUNTY</v>
      </c>
      <c r="C1834" s="2" t="s">
        <v>55</v>
      </c>
      <c r="D1834" s="2" t="str">
        <f>CLEAN("5958-00-72")</f>
        <v>5958-00-72</v>
      </c>
      <c r="E1834" s="3" t="str">
        <f>CLEAN("CTH E - CTH X (CTH G)")</f>
        <v>CTH E - CTH X (CTH G)</v>
      </c>
      <c r="F1834" s="3" t="str">
        <f>CLEAN("PECATONICA RIVER BRIDGE B-25-0201")</f>
        <v>PECATONICA RIVER BRIDGE B-25-0201</v>
      </c>
      <c r="G1834" s="3" t="str">
        <f>CLEAN("CONST OPS/BRIDGE REHABILITATION")</f>
        <v>CONST OPS/BRIDGE REHABILITATION</v>
      </c>
      <c r="H1834" s="2" t="str">
        <f>CLEAN("CTH G")</f>
        <v>CTH G</v>
      </c>
      <c r="I1834" s="2" t="str">
        <f>CLEAN("205")</f>
        <v>205</v>
      </c>
    </row>
    <row r="1835" spans="1:9" x14ac:dyDescent="0.35">
      <c r="A1835" s="2" t="str">
        <f t="shared" si="293"/>
        <v>IOWA</v>
      </c>
      <c r="B1835" s="2" t="str">
        <f t="shared" si="294"/>
        <v>IOWA COUNTY</v>
      </c>
      <c r="C1835" s="2" t="s">
        <v>2073</v>
      </c>
      <c r="D1835" s="2" t="str">
        <f>CLEAN("5975-00-01")</f>
        <v>5975-00-01</v>
      </c>
      <c r="E1835" s="3" t="str">
        <f>CLEAN("MOSCOW - HOLLANDALE (CTH K)")</f>
        <v>MOSCOW - HOLLANDALE (CTH K)</v>
      </c>
      <c r="F1835" s="3" t="str">
        <f>CLEAN("NORTON ROAD TO STH 39")</f>
        <v>NORTON ROAD TO STH 39</v>
      </c>
      <c r="G1835" s="3" t="str">
        <f>CLEAN("DESIGN/PLAN CHECK REVIEW/ RECST")</f>
        <v>DESIGN/PLAN CHECK REVIEW/ RECST</v>
      </c>
      <c r="H1835" s="2" t="str">
        <f>CLEAN("CTH K")</f>
        <v>CTH K</v>
      </c>
      <c r="I1835" s="2" t="str">
        <f>CLEAN("206")</f>
        <v>206</v>
      </c>
    </row>
    <row r="1836" spans="1:9" x14ac:dyDescent="0.35">
      <c r="A1836" s="2" t="str">
        <f t="shared" si="293"/>
        <v>IOWA</v>
      </c>
      <c r="B1836" s="2" t="str">
        <f t="shared" si="294"/>
        <v>IOWA COUNTY</v>
      </c>
      <c r="C1836" s="2" t="s">
        <v>256</v>
      </c>
      <c r="D1836" s="2" t="str">
        <f>CLEAN("5975-00-70")</f>
        <v>5975-00-70</v>
      </c>
      <c r="E1836" s="3" t="str">
        <f>CLEAN("MOSCOW - HOLLANDALE (CTH K)")</f>
        <v>MOSCOW - HOLLANDALE (CTH K)</v>
      </c>
      <c r="F1836" s="3" t="str">
        <f>CLEAN("NORTON ROAD TO STH 39")</f>
        <v>NORTON ROAD TO STH 39</v>
      </c>
      <c r="G1836" s="3" t="str">
        <f>CLEAN("CONST OPS/RECONSTRUCTION")</f>
        <v>CONST OPS/RECONSTRUCTION</v>
      </c>
      <c r="H1836" s="2" t="str">
        <f>CLEAN("CTH K")</f>
        <v>CTH K</v>
      </c>
      <c r="I1836" s="2" t="str">
        <f>CLEAN("206")</f>
        <v>206</v>
      </c>
    </row>
    <row r="1837" spans="1:9" x14ac:dyDescent="0.35">
      <c r="A1837" s="2" t="str">
        <f>CLEAN("IRON")</f>
        <v>IRON</v>
      </c>
      <c r="B1837" s="2" t="str">
        <f>CLEAN("IRON COUNTY")</f>
        <v>IRON COUNTY</v>
      </c>
      <c r="C1837" s="2" t="s">
        <v>1895</v>
      </c>
      <c r="D1837" s="2" t="str">
        <f>CLEAN("9351-00-00")</f>
        <v>9351-00-00</v>
      </c>
      <c r="E1837" s="3" t="str">
        <f>CLEAN("ASHLAND CO LINE - USH 51")</f>
        <v>ASHLAND CO LINE - USH 51</v>
      </c>
      <c r="F1837" s="3" t="str">
        <f>CLEAN("TURTLE RIVER BRIDGE  B-26-0003")</f>
        <v>TURTLE RIVER BRIDGE  B-26-0003</v>
      </c>
      <c r="G1837" s="3" t="str">
        <f>CLEAN("DESIGN/FULL PSE/DECK OVERLAY")</f>
        <v>DESIGN/FULL PSE/DECK OVERLAY</v>
      </c>
      <c r="H1837" s="2" t="str">
        <f>CLEAN("CTH FF")</f>
        <v>CTH FF</v>
      </c>
      <c r="I1837" s="2" t="str">
        <f>CLEAN("205")</f>
        <v>205</v>
      </c>
    </row>
    <row r="1838" spans="1:9" x14ac:dyDescent="0.35">
      <c r="A1838" s="2" t="str">
        <f>CLEAN("BAYFIELD")</f>
        <v>BAYFIELD</v>
      </c>
      <c r="B1838" s="2" t="str">
        <f>CLEAN("IRON RIVER SANITARY DISTRICT")</f>
        <v>IRON RIVER SANITARY DISTRICT</v>
      </c>
      <c r="C1838" s="2" t="s">
        <v>1363</v>
      </c>
      <c r="D1838" s="2" t="str">
        <f>CLEAN("1180-00-75")</f>
        <v>1180-00-75</v>
      </c>
      <c r="E1838" s="3" t="str">
        <f>CLEAN("BRULE - INO")</f>
        <v>BRULE - INO</v>
      </c>
      <c r="F1838" s="3" t="str">
        <f>CLEAN("CTH A TO CTH E")</f>
        <v>CTH A TO CTH E</v>
      </c>
      <c r="G1838" s="3" t="str">
        <f>CLEAN("CONSTRUCTION/RESURFACING")</f>
        <v>CONSTRUCTION/RESURFACING</v>
      </c>
      <c r="H1838" s="2" t="str">
        <f>CLEAN("USH 002")</f>
        <v>USH 002</v>
      </c>
      <c r="I1838" s="2" t="str">
        <f>CLEAN("303")</f>
        <v>303</v>
      </c>
    </row>
    <row r="1839" spans="1:9" x14ac:dyDescent="0.35">
      <c r="A1839" s="2" t="str">
        <f t="shared" ref="A1839:A1846" si="296">CLEAN("JACKSON")</f>
        <v>JACKSON</v>
      </c>
      <c r="B1839" s="2" t="str">
        <f t="shared" ref="B1839:B1846" si="297">CLEAN("JACKSON COUNTY")</f>
        <v>JACKSON COUNTY</v>
      </c>
      <c r="C1839" s="2" t="s">
        <v>1505</v>
      </c>
      <c r="D1839" s="2" t="str">
        <f>CLEAN("7026-00-01")</f>
        <v>7026-00-01</v>
      </c>
      <c r="E1839" s="3" t="str">
        <f>CLEAN("STH 54 - TAYLOR")</f>
        <v>STH 54 - TAYLOR</v>
      </c>
      <c r="F1839" s="3" t="str">
        <f>CLEAN("CTH C TO RABBIT RUN ROAD")</f>
        <v>CTH C TO RABBIT RUN ROAD</v>
      </c>
      <c r="G1839" s="3" t="str">
        <f>CLEAN("DESIGN - FULL PS&amp;E PVRPLA")</f>
        <v>DESIGN - FULL PS&amp;E PVRPLA</v>
      </c>
      <c r="H1839" s="2" t="str">
        <f>CLEAN("CTH N")</f>
        <v>CTH N</v>
      </c>
      <c r="I1839" s="2" t="str">
        <f>CLEAN("206")</f>
        <v>206</v>
      </c>
    </row>
    <row r="1840" spans="1:9" x14ac:dyDescent="0.35">
      <c r="A1840" s="2" t="str">
        <f t="shared" si="296"/>
        <v>JACKSON</v>
      </c>
      <c r="B1840" s="2" t="str">
        <f t="shared" si="297"/>
        <v>JACKSON COUNTY</v>
      </c>
      <c r="C1840" s="2" t="s">
        <v>1302</v>
      </c>
      <c r="D1840" s="2" t="str">
        <f>CLEAN("7026-00-71")</f>
        <v>7026-00-71</v>
      </c>
      <c r="E1840" s="3" t="str">
        <f>CLEAN("STH 54 - TAYLOR")</f>
        <v>STH 54 - TAYLOR</v>
      </c>
      <c r="F1840" s="3" t="str">
        <f>CLEAN("CTH C TO RABBIT RUN ROAD")</f>
        <v>CTH C TO RABBIT RUN ROAD</v>
      </c>
      <c r="G1840" s="3" t="str">
        <f>CLEAN("CONSTRUCTION/PVRPLA")</f>
        <v>CONSTRUCTION/PVRPLA</v>
      </c>
      <c r="H1840" s="2" t="str">
        <f>CLEAN("CTH N")</f>
        <v>CTH N</v>
      </c>
      <c r="I1840" s="2" t="str">
        <f>CLEAN("206")</f>
        <v>206</v>
      </c>
    </row>
    <row r="1841" spans="1:9" x14ac:dyDescent="0.35">
      <c r="A1841" s="2" t="str">
        <f t="shared" si="296"/>
        <v>JACKSON</v>
      </c>
      <c r="B1841" s="2" t="str">
        <f t="shared" si="297"/>
        <v>JACKSON COUNTY</v>
      </c>
      <c r="C1841" s="2" t="s">
        <v>1555</v>
      </c>
      <c r="D1841" s="2" t="str">
        <f>CLEAN("7027-00-01")</f>
        <v>7027-00-01</v>
      </c>
      <c r="E1841" s="3" t="str">
        <f>CLEAN("MILLSTON - CTH HH")</f>
        <v>MILLSTON - CTH HH</v>
      </c>
      <c r="F1841" s="3" t="str">
        <f>CLEAN("MCKENNA ROAD INTERSECTION")</f>
        <v>MCKENNA ROAD INTERSECTION</v>
      </c>
      <c r="G1841" s="3" t="str">
        <f>CLEAN("DESIGN - FULL PS&amp;E SAFETY")</f>
        <v>DESIGN - FULL PS&amp;E SAFETY</v>
      </c>
      <c r="H1841" s="2" t="str">
        <f>CLEAN("CTH O")</f>
        <v>CTH O</v>
      </c>
      <c r="I1841" s="2" t="str">
        <f>CLEAN("206")</f>
        <v>206</v>
      </c>
    </row>
    <row r="1842" spans="1:9" x14ac:dyDescent="0.35">
      <c r="A1842" s="2" t="str">
        <f t="shared" si="296"/>
        <v>JACKSON</v>
      </c>
      <c r="B1842" s="2" t="str">
        <f t="shared" si="297"/>
        <v>JACKSON COUNTY</v>
      </c>
      <c r="C1842" s="2" t="s">
        <v>1435</v>
      </c>
      <c r="D1842" s="2" t="str">
        <f>CLEAN("7027-00-02")</f>
        <v>7027-00-02</v>
      </c>
      <c r="E1842" s="3" t="str">
        <f>CLEAN("STH 27 - MILLSTON")</f>
        <v>STH 27 - MILLSTON</v>
      </c>
      <c r="F1842" s="3" t="str">
        <f>CLEAN("CLEAR CREEK BRIDGE B-27-0969")</f>
        <v>CLEAR CREEK BRIDGE B-27-0969</v>
      </c>
      <c r="G1842" s="3" t="str">
        <f>CLEAN("DESIGN - FULL PS&amp;E BRRPL")</f>
        <v>DESIGN - FULL PS&amp;E BRRPL</v>
      </c>
      <c r="H1842" s="2" t="str">
        <f>CLEAN("CTH O")</f>
        <v>CTH O</v>
      </c>
      <c r="I1842" s="2" t="str">
        <f>CLEAN("205")</f>
        <v>205</v>
      </c>
    </row>
    <row r="1843" spans="1:9" x14ac:dyDescent="0.35">
      <c r="A1843" s="2" t="str">
        <f t="shared" si="296"/>
        <v>JACKSON</v>
      </c>
      <c r="B1843" s="2" t="str">
        <f t="shared" si="297"/>
        <v>JACKSON COUNTY</v>
      </c>
      <c r="C1843" s="2" t="s">
        <v>1267</v>
      </c>
      <c r="D1843" s="2" t="str">
        <f>CLEAN("7027-00-70")</f>
        <v>7027-00-70</v>
      </c>
      <c r="E1843" s="3" t="str">
        <f>CLEAN("MILLSTON - CTH HH")</f>
        <v>MILLSTON - CTH HH</v>
      </c>
      <c r="F1843" s="3" t="str">
        <f>CLEAN("ROBINSON CREEK BRIDGE B-27-0173")</f>
        <v>ROBINSON CREEK BRIDGE B-27-0173</v>
      </c>
      <c r="G1843" s="3" t="str">
        <f>CLEAN("CONSTRUCTION/BRRPL")</f>
        <v>CONSTRUCTION/BRRPL</v>
      </c>
      <c r="H1843" s="2" t="str">
        <f>CLEAN("CTH O")</f>
        <v>CTH O</v>
      </c>
      <c r="I1843" s="2" t="str">
        <f>CLEAN("205")</f>
        <v>205</v>
      </c>
    </row>
    <row r="1844" spans="1:9" x14ac:dyDescent="0.35">
      <c r="A1844" s="2" t="str">
        <f t="shared" si="296"/>
        <v>JACKSON</v>
      </c>
      <c r="B1844" s="2" t="str">
        <f t="shared" si="297"/>
        <v>JACKSON COUNTY</v>
      </c>
      <c r="C1844" s="2" t="s">
        <v>1374</v>
      </c>
      <c r="D1844" s="2" t="str">
        <f>CLEAN("7027-00-71")</f>
        <v>7027-00-71</v>
      </c>
      <c r="E1844" s="3" t="str">
        <f>CLEAN("MILLSTON - CTH HH")</f>
        <v>MILLSTON - CTH HH</v>
      </c>
      <c r="F1844" s="3" t="str">
        <f>CLEAN("MCKENNA ROAD INTERSECTION")</f>
        <v>MCKENNA ROAD INTERSECTION</v>
      </c>
      <c r="G1844" s="3" t="str">
        <f>CLEAN("CONSTRUCTION/SAFETY")</f>
        <v>CONSTRUCTION/SAFETY</v>
      </c>
      <c r="H1844" s="2" t="str">
        <f>CLEAN("CTH O")</f>
        <v>CTH O</v>
      </c>
      <c r="I1844" s="2" t="str">
        <f>CLEAN("206")</f>
        <v>206</v>
      </c>
    </row>
    <row r="1845" spans="1:9" x14ac:dyDescent="0.35">
      <c r="A1845" s="2" t="str">
        <f t="shared" si="296"/>
        <v>JACKSON</v>
      </c>
      <c r="B1845" s="2" t="str">
        <f t="shared" si="297"/>
        <v>JACKSON COUNTY</v>
      </c>
      <c r="C1845" s="2" t="s">
        <v>1167</v>
      </c>
      <c r="D1845" s="2" t="str">
        <f>CLEAN("7027-00-72")</f>
        <v>7027-00-72</v>
      </c>
      <c r="E1845" s="3" t="str">
        <f>CLEAN("STH 27 - MILLSTON")</f>
        <v>STH 27 - MILLSTON</v>
      </c>
      <c r="F1845" s="3" t="str">
        <f>CLEAN("CLEAR CREEK BRIDGE B-27-0179")</f>
        <v>CLEAR CREEK BRIDGE B-27-0179</v>
      </c>
      <c r="G1845" s="3" t="str">
        <f>CLEAN("CONSTRUCTION/BRIDGE REPLACEMENT")</f>
        <v>CONSTRUCTION/BRIDGE REPLACEMENT</v>
      </c>
      <c r="H1845" s="2" t="str">
        <f>CLEAN("CTH O")</f>
        <v>CTH O</v>
      </c>
      <c r="I1845" s="2" t="str">
        <f>CLEAN("205")</f>
        <v>205</v>
      </c>
    </row>
    <row r="1846" spans="1:9" x14ac:dyDescent="0.35">
      <c r="A1846" s="2" t="str">
        <f t="shared" si="296"/>
        <v>JACKSON</v>
      </c>
      <c r="B1846" s="2" t="str">
        <f t="shared" si="297"/>
        <v>JACKSON COUNTY</v>
      </c>
      <c r="C1846" s="2" t="s">
        <v>1185</v>
      </c>
      <c r="D1846" s="2" t="str">
        <f>CLEAN("7244-00-70")</f>
        <v>7244-00-70</v>
      </c>
      <c r="E1846" s="3" t="str">
        <f>CLEAN("STH 54 - NORTH COUNTY LINE")</f>
        <v>STH 54 - NORTH COUNTY LINE</v>
      </c>
      <c r="F1846" s="3" t="str">
        <f>CLEAN("HAY CREEK BRIDGE B-27-0176")</f>
        <v>HAY CREEK BRIDGE B-27-0176</v>
      </c>
      <c r="G1846" s="3" t="str">
        <f>CLEAN("CONSTRUCTION/BRIDGE REPLACEMENT")</f>
        <v>CONSTRUCTION/BRIDGE REPLACEMENT</v>
      </c>
      <c r="H1846" s="2" t="str">
        <f>CLEAN("CTH Z")</f>
        <v>CTH Z</v>
      </c>
      <c r="I1846" s="2" t="str">
        <f>CLEAN("205")</f>
        <v>205</v>
      </c>
    </row>
    <row r="1847" spans="1:9" x14ac:dyDescent="0.35">
      <c r="A1847" s="2" t="str">
        <f t="shared" ref="A1847:A1855" si="298">CLEAN("JEFFERSON")</f>
        <v>JEFFERSON</v>
      </c>
      <c r="B1847" s="2" t="str">
        <f t="shared" ref="B1847:B1855" si="299">CLEAN("JEFFERSON COUNTY")</f>
        <v>JEFFERSON COUNTY</v>
      </c>
      <c r="C1847" s="2" t="s">
        <v>651</v>
      </c>
      <c r="D1847" s="2" t="str">
        <f>CLEAN("1370-00-73")</f>
        <v>1370-00-73</v>
      </c>
      <c r="E1847" s="3" t="str">
        <f>CLEAN("WATERTOWN- WAUKESHA")</f>
        <v>WATERTOWN- WAUKESHA</v>
      </c>
      <c r="F1847" s="3" t="str">
        <f>CLEAN("E MAIN ST TO ROCK RIVER ROAD")</f>
        <v>E MAIN ST TO ROCK RIVER ROAD</v>
      </c>
      <c r="G1847" s="3" t="str">
        <f>CLEAN("CONST/PAVE REPL REPAIR B-28-12 -22")</f>
        <v>CONST/PAVE REPL REPAIR B-28-12 -22</v>
      </c>
      <c r="H1847" s="2" t="str">
        <f>CLEAN("STH 016")</f>
        <v>STH 016</v>
      </c>
      <c r="I1847" s="2" t="str">
        <f>CLEAN("303")</f>
        <v>303</v>
      </c>
    </row>
    <row r="1848" spans="1:9" x14ac:dyDescent="0.35">
      <c r="A1848" s="2" t="str">
        <f t="shared" si="298"/>
        <v>JEFFERSON</v>
      </c>
      <c r="B1848" s="2" t="str">
        <f t="shared" si="299"/>
        <v>JEFFERSON COUNTY</v>
      </c>
      <c r="C1848" s="2" t="s">
        <v>2929</v>
      </c>
      <c r="D1848" s="2" t="str">
        <f>CLEAN("3500-00-06")</f>
        <v>3500-00-06</v>
      </c>
      <c r="E1848" s="3" t="str">
        <f>CLEAN("JEFFERSON COUNTY  INTERURBAN TRAIL")</f>
        <v>JEFFERSON COUNTY  INTERURBAN TRAIL</v>
      </c>
      <c r="F1848" s="3" t="str">
        <f>CLEAN("RIVER ROAD TO CTH F")</f>
        <v>RIVER ROAD TO CTH F</v>
      </c>
      <c r="G1848" s="3" t="str">
        <f>CLEAN("PE/PLAN CHECK REVIEW/BIKE PED TRAIL")</f>
        <v>PE/PLAN CHECK REVIEW/BIKE PED TRAIL</v>
      </c>
      <c r="H1848" s="2" t="str">
        <f>CLEAN("NON HWY")</f>
        <v>NON HWY</v>
      </c>
      <c r="I1848" s="2" t="str">
        <f>CLEAN("290")</f>
        <v>290</v>
      </c>
    </row>
    <row r="1849" spans="1:9" x14ac:dyDescent="0.35">
      <c r="A1849" s="2" t="str">
        <f t="shared" si="298"/>
        <v>JEFFERSON</v>
      </c>
      <c r="B1849" s="2" t="str">
        <f t="shared" si="299"/>
        <v>JEFFERSON COUNTY</v>
      </c>
      <c r="C1849" s="2" t="s">
        <v>53</v>
      </c>
      <c r="D1849" s="2" t="str">
        <f>CLEAN("3500-00-76")</f>
        <v>3500-00-76</v>
      </c>
      <c r="E1849" s="3" t="str">
        <f>CLEAN("JEFFERSON COUNTY  INTERURBAN TRAIL")</f>
        <v>JEFFERSON COUNTY  INTERURBAN TRAIL</v>
      </c>
      <c r="F1849" s="3" t="str">
        <f>CLEAN("RIVER ROAD TO CTH F")</f>
        <v>RIVER ROAD TO CTH F</v>
      </c>
      <c r="G1849" s="3" t="str">
        <f>CLEAN("CONST OPS/BIKE PEDESTRIAN TRAIL")</f>
        <v>CONST OPS/BIKE PEDESTRIAN TRAIL</v>
      </c>
      <c r="H1849" s="2" t="str">
        <f>CLEAN("NON HWY")</f>
        <v>NON HWY</v>
      </c>
      <c r="I1849" s="2" t="str">
        <f>CLEAN("290")</f>
        <v>290</v>
      </c>
    </row>
    <row r="1850" spans="1:9" x14ac:dyDescent="0.35">
      <c r="A1850" s="2" t="str">
        <f t="shared" si="298"/>
        <v>JEFFERSON</v>
      </c>
      <c r="B1850" s="2" t="str">
        <f t="shared" si="299"/>
        <v>JEFFERSON COUNTY</v>
      </c>
      <c r="C1850" s="2" t="s">
        <v>2069</v>
      </c>
      <c r="D1850" s="2" t="str">
        <f>CLEAN("3584-00-00")</f>
        <v>3584-00-00</v>
      </c>
      <c r="E1850" s="3" t="str">
        <f>CLEAN("T COLD SPINGS - T HEBRON (CTH D)")</f>
        <v>T COLD SPINGS - T HEBRON (CTH D)</v>
      </c>
      <c r="F1850" s="3" t="str">
        <f>CLEAN("BARK RIVER BRIDGE B-28-0006")</f>
        <v>BARK RIVER BRIDGE B-28-0006</v>
      </c>
      <c r="G1850" s="3" t="str">
        <f>CLEAN("DESIGN/PLAN CHECK REVIEW / BRRPL")</f>
        <v>DESIGN/PLAN CHECK REVIEW / BRRPL</v>
      </c>
      <c r="H1850" s="2" t="str">
        <f>CLEAN("CTH D")</f>
        <v>CTH D</v>
      </c>
      <c r="I1850" s="2" t="str">
        <f>CLEAN("205")</f>
        <v>205</v>
      </c>
    </row>
    <row r="1851" spans="1:9" x14ac:dyDescent="0.35">
      <c r="A1851" s="2" t="str">
        <f t="shared" si="298"/>
        <v>JEFFERSON</v>
      </c>
      <c r="B1851" s="2" t="str">
        <f t="shared" si="299"/>
        <v>JEFFERSON COUNTY</v>
      </c>
      <c r="C1851" s="2" t="s">
        <v>60</v>
      </c>
      <c r="D1851" s="2" t="str">
        <f>CLEAN("3584-00-70")</f>
        <v>3584-00-70</v>
      </c>
      <c r="E1851" s="3" t="str">
        <f>CLEAN("T COLD SPINGS - T HEBRON (CTH D)")</f>
        <v>T COLD SPINGS - T HEBRON (CTH D)</v>
      </c>
      <c r="F1851" s="3" t="str">
        <f>CLEAN("BARK RIVER BRIDGE B-28-0200")</f>
        <v>BARK RIVER BRIDGE B-28-0200</v>
      </c>
      <c r="G1851" s="3" t="str">
        <f>CLEAN("CONST OPS/BRIDGE REPLACEMENT")</f>
        <v>CONST OPS/BRIDGE REPLACEMENT</v>
      </c>
      <c r="H1851" s="2" t="str">
        <f>CLEAN("CTH D")</f>
        <v>CTH D</v>
      </c>
      <c r="I1851" s="2" t="str">
        <f>CLEAN("205")</f>
        <v>205</v>
      </c>
    </row>
    <row r="1852" spans="1:9" x14ac:dyDescent="0.35">
      <c r="A1852" s="2" t="str">
        <f t="shared" si="298"/>
        <v>JEFFERSON</v>
      </c>
      <c r="B1852" s="2" t="str">
        <f t="shared" si="299"/>
        <v>JEFFERSON COUNTY</v>
      </c>
      <c r="C1852" s="2" t="s">
        <v>2230</v>
      </c>
      <c r="D1852" s="2" t="str">
        <f>CLEAN("3585-00-00")</f>
        <v>3585-00-00</v>
      </c>
      <c r="E1852" s="3" t="str">
        <f>CLEAN("CONCORD - WATERTOWN (CTH E)")</f>
        <v>CONCORD - WATERTOWN (CTH E)</v>
      </c>
      <c r="F1852" s="3" t="str">
        <f>CLEAN("CTH F TO SOUTH CONCORD AVENUE")</f>
        <v>CTH F TO SOUTH CONCORD AVENUE</v>
      </c>
      <c r="G1852" s="3" t="str">
        <f>CLEAN("DESIGN/PLAN CHECK REVIEW/RESURFACE")</f>
        <v>DESIGN/PLAN CHECK REVIEW/RESURFACE</v>
      </c>
      <c r="H1852" s="2" t="str">
        <f>CLEAN("CTH E")</f>
        <v>CTH E</v>
      </c>
      <c r="I1852" s="2" t="str">
        <f>CLEAN("206")</f>
        <v>206</v>
      </c>
    </row>
    <row r="1853" spans="1:9" x14ac:dyDescent="0.35">
      <c r="A1853" s="2" t="str">
        <f t="shared" si="298"/>
        <v>JEFFERSON</v>
      </c>
      <c r="B1853" s="2" t="str">
        <f t="shared" si="299"/>
        <v>JEFFERSON COUNTY</v>
      </c>
      <c r="C1853" s="2" t="s">
        <v>50</v>
      </c>
      <c r="D1853" s="2" t="str">
        <f>CLEAN("3585-00-70")</f>
        <v>3585-00-70</v>
      </c>
      <c r="E1853" s="3" t="str">
        <f>CLEAN("CONCORD - WATERTOWN (CTH E)")</f>
        <v>CONCORD - WATERTOWN (CTH E)</v>
      </c>
      <c r="F1853" s="3" t="str">
        <f>CLEAN("CTH F TO SOUTH CONCORD AVENUE")</f>
        <v>CTH F TO SOUTH CONCORD AVENUE</v>
      </c>
      <c r="G1853" s="3" t="str">
        <f>CLEAN("CONST OPS/ RESURFACE")</f>
        <v>CONST OPS/ RESURFACE</v>
      </c>
      <c r="H1853" s="2" t="str">
        <f>CLEAN("CTH E")</f>
        <v>CTH E</v>
      </c>
      <c r="I1853" s="2" t="str">
        <f>CLEAN("206")</f>
        <v>206</v>
      </c>
    </row>
    <row r="1854" spans="1:9" x14ac:dyDescent="0.35">
      <c r="A1854" s="2" t="str">
        <f t="shared" si="298"/>
        <v>JEFFERSON</v>
      </c>
      <c r="B1854" s="2" t="str">
        <f t="shared" si="299"/>
        <v>JEFFERSON COUNTY</v>
      </c>
      <c r="C1854" s="2" t="s">
        <v>2928</v>
      </c>
      <c r="D1854" s="2" t="str">
        <f>CLEAN("3635-00-03")</f>
        <v>3635-00-03</v>
      </c>
      <c r="E1854" s="3" t="str">
        <f>CLEAN("JEFFERSON COUNTY  INTERURBAN TRAIL")</f>
        <v>JEFFERSON COUNTY  INTERURBAN TRAIL</v>
      </c>
      <c r="F1854" s="3" t="str">
        <f>CLEAN("CTH F TO EAST COUNTY LINE")</f>
        <v>CTH F TO EAST COUNTY LINE</v>
      </c>
      <c r="G1854" s="3" t="str">
        <f>CLEAN("PE/PLAN CHECK REVIEW/BIKE PED TRAIL")</f>
        <v>PE/PLAN CHECK REVIEW/BIKE PED TRAIL</v>
      </c>
      <c r="H1854" s="2" t="str">
        <f>CLEAN("NON HWY")</f>
        <v>NON HWY</v>
      </c>
      <c r="I1854" s="2" t="str">
        <f>CLEAN("290")</f>
        <v>290</v>
      </c>
    </row>
    <row r="1855" spans="1:9" x14ac:dyDescent="0.35">
      <c r="A1855" s="2" t="str">
        <f t="shared" si="298"/>
        <v>JEFFERSON</v>
      </c>
      <c r="B1855" s="2" t="str">
        <f t="shared" si="299"/>
        <v>JEFFERSON COUNTY</v>
      </c>
      <c r="C1855" s="2" t="s">
        <v>17</v>
      </c>
      <c r="D1855" s="2" t="str">
        <f>CLEAN("3635-00-73")</f>
        <v>3635-00-73</v>
      </c>
      <c r="E1855" s="3" t="str">
        <f>CLEAN("JEFFERSON COUNTY  INTERURBAN TRAIL")</f>
        <v>JEFFERSON COUNTY  INTERURBAN TRAIL</v>
      </c>
      <c r="F1855" s="3" t="str">
        <f>CLEAN("CTH F TO EAST COUNTY LINE")</f>
        <v>CTH F TO EAST COUNTY LINE</v>
      </c>
      <c r="G1855" s="3" t="str">
        <f>CLEAN("BIKE/PED INTERURBAN TRAIL")</f>
        <v>BIKE/PED INTERURBAN TRAIL</v>
      </c>
      <c r="H1855" s="2" t="str">
        <f>CLEAN("NON HWY")</f>
        <v>NON HWY</v>
      </c>
      <c r="I1855" s="2" t="str">
        <f>CLEAN("290")</f>
        <v>290</v>
      </c>
    </row>
    <row r="1856" spans="1:9" x14ac:dyDescent="0.35">
      <c r="A1856" s="2" t="str">
        <f t="shared" ref="A1856:A1866" si="300">CLEAN("JUNEAU")</f>
        <v>JUNEAU</v>
      </c>
      <c r="B1856" s="2" t="str">
        <f t="shared" ref="B1856:B1866" si="301">CLEAN("JUNEAU COUNTY")</f>
        <v>JUNEAU COUNTY</v>
      </c>
      <c r="C1856" s="2" t="s">
        <v>2127</v>
      </c>
      <c r="D1856" s="2" t="str">
        <f>CLEAN("5808-00-06")</f>
        <v>5808-00-06</v>
      </c>
      <c r="E1856" s="3" t="str">
        <f>CLEAN("T LYNDON - V LYNDON STATION CTH HH")</f>
        <v>T LYNDON - V LYNDON STATION CTH HH</v>
      </c>
      <c r="F1856" s="3" t="str">
        <f>CLEAN("CTH J TO SMITHS ROAD")</f>
        <v>CTH J TO SMITHS ROAD</v>
      </c>
      <c r="G1856" s="3" t="str">
        <f>CLEAN("DESIGN/PLAN CHECK REVIEW/PVRPL")</f>
        <v>DESIGN/PLAN CHECK REVIEW/PVRPL</v>
      </c>
      <c r="H1856" s="2" t="str">
        <f>CLEAN("CTH HH")</f>
        <v>CTH HH</v>
      </c>
      <c r="I1856" s="2" t="str">
        <f>CLEAN("206")</f>
        <v>206</v>
      </c>
    </row>
    <row r="1857" spans="1:9" x14ac:dyDescent="0.35">
      <c r="A1857" s="2" t="str">
        <f t="shared" si="300"/>
        <v>JUNEAU</v>
      </c>
      <c r="B1857" s="2" t="str">
        <f t="shared" si="301"/>
        <v>JUNEAU COUNTY</v>
      </c>
      <c r="C1857" s="2" t="s">
        <v>1112</v>
      </c>
      <c r="D1857" s="2" t="str">
        <f>CLEAN("5808-00-76")</f>
        <v>5808-00-76</v>
      </c>
      <c r="E1857" s="3" t="str">
        <f>CLEAN("LYNDON - LYNDON STATION (CTH HH)")</f>
        <v>LYNDON - LYNDON STATION (CTH HH)</v>
      </c>
      <c r="F1857" s="3" t="str">
        <f>CLEAN("CTH J TO SMITHS ROAD")</f>
        <v>CTH J TO SMITHS ROAD</v>
      </c>
      <c r="G1857" s="3" t="str">
        <f>CLEAN("CONSTR OPS/PAVEMENT REPLACMENT")</f>
        <v>CONSTR OPS/PAVEMENT REPLACMENT</v>
      </c>
      <c r="H1857" s="2" t="str">
        <f>CLEAN("CTH HH")</f>
        <v>CTH HH</v>
      </c>
      <c r="I1857" s="2" t="str">
        <f>CLEAN("206")</f>
        <v>206</v>
      </c>
    </row>
    <row r="1858" spans="1:9" x14ac:dyDescent="0.35">
      <c r="A1858" s="2" t="str">
        <f t="shared" si="300"/>
        <v>JUNEAU</v>
      </c>
      <c r="B1858" s="2" t="str">
        <f t="shared" si="301"/>
        <v>JUNEAU COUNTY</v>
      </c>
      <c r="C1858" s="2" t="s">
        <v>2128</v>
      </c>
      <c r="D1858" s="2" t="str">
        <f>CLEAN("5809-00-03")</f>
        <v>5809-00-03</v>
      </c>
      <c r="E1858" s="3" t="str">
        <f>CLEAN("T SEVEN MILE CREEK - T LEMONWEIR")</f>
        <v>T SEVEN MILE CREEK - T LEMONWEIR</v>
      </c>
      <c r="F1858" s="3" t="str">
        <f>CLEAN("LA VALLE ROAD TO CTH O")</f>
        <v>LA VALLE ROAD TO CTH O</v>
      </c>
      <c r="G1858" s="3" t="str">
        <f>CLEAN("DESIGN/PLAN CHECK REVIEW/PVRPL")</f>
        <v>DESIGN/PLAN CHECK REVIEW/PVRPL</v>
      </c>
      <c r="H1858" s="2" t="str">
        <f>CLEAN("CTH K")</f>
        <v>CTH K</v>
      </c>
      <c r="I1858" s="2" t="str">
        <f>CLEAN("206")</f>
        <v>206</v>
      </c>
    </row>
    <row r="1859" spans="1:9" x14ac:dyDescent="0.35">
      <c r="A1859" s="2" t="str">
        <f t="shared" si="300"/>
        <v>JUNEAU</v>
      </c>
      <c r="B1859" s="2" t="str">
        <f t="shared" si="301"/>
        <v>JUNEAU COUNTY</v>
      </c>
      <c r="C1859" s="2" t="s">
        <v>2130</v>
      </c>
      <c r="D1859" s="2" t="str">
        <f>CLEAN("5809-00-04")</f>
        <v>5809-00-04</v>
      </c>
      <c r="E1859" s="3" t="str">
        <f>CLEAN("REEDSBURG - MAUSTON (CTH K)")</f>
        <v>REEDSBURG - MAUSTON (CTH K)</v>
      </c>
      <c r="F1859" s="3" t="str">
        <f>CLEAN("SAUK COUNTY LINE TO CTH O")</f>
        <v>SAUK COUNTY LINE TO CTH O</v>
      </c>
      <c r="G1859" s="3" t="str">
        <f>CLEAN("DESIGN/PLAN CHECK REVIEW/PVRPL")</f>
        <v>DESIGN/PLAN CHECK REVIEW/PVRPL</v>
      </c>
      <c r="H1859" s="2" t="str">
        <f>CLEAN("CTH K")</f>
        <v>CTH K</v>
      </c>
      <c r="I1859" s="2" t="str">
        <f>CLEAN("206")</f>
        <v>206</v>
      </c>
    </row>
    <row r="1860" spans="1:9" x14ac:dyDescent="0.35">
      <c r="A1860" s="2" t="str">
        <f t="shared" si="300"/>
        <v>JUNEAU</v>
      </c>
      <c r="B1860" s="2" t="str">
        <f t="shared" si="301"/>
        <v>JUNEAU COUNTY</v>
      </c>
      <c r="C1860" s="2" t="s">
        <v>217</v>
      </c>
      <c r="D1860" s="2" t="str">
        <f>CLEAN("5809-00-74")</f>
        <v>5809-00-74</v>
      </c>
      <c r="E1860" s="3" t="str">
        <f>CLEAN("REEDSBURG - MAUSTON (CTH K)")</f>
        <v>REEDSBURG - MAUSTON (CTH K)</v>
      </c>
      <c r="F1860" s="3" t="str">
        <f>CLEAN("SAUK COUNTY LINE TO CTH O")</f>
        <v>SAUK COUNTY LINE TO CTH O</v>
      </c>
      <c r="G1860" s="3" t="str">
        <f>CLEAN("CONST OPS/PVRPLA")</f>
        <v>CONST OPS/PVRPLA</v>
      </c>
      <c r="H1860" s="2" t="str">
        <f>CLEAN("CTH K")</f>
        <v>CTH K</v>
      </c>
      <c r="I1860" s="2" t="str">
        <f>CLEAN("206")</f>
        <v>206</v>
      </c>
    </row>
    <row r="1861" spans="1:9" x14ac:dyDescent="0.35">
      <c r="A1861" s="2" t="str">
        <f t="shared" si="300"/>
        <v>JUNEAU</v>
      </c>
      <c r="B1861" s="2" t="str">
        <f t="shared" si="301"/>
        <v>JUNEAU COUNTY</v>
      </c>
      <c r="C1861" s="2" t="s">
        <v>2079</v>
      </c>
      <c r="D1861" s="2" t="str">
        <f>CLEAN("5817-00-01")</f>
        <v>5817-00-01</v>
      </c>
      <c r="E1861" s="3" t="str">
        <f>CLEAN("CTH S - CTH A")</f>
        <v>CTH S - CTH A</v>
      </c>
      <c r="F1861" s="3" t="str">
        <f>CLEAN("LITTLE LEMONWEIR BRIDGE  B-29-0015")</f>
        <v>LITTLE LEMONWEIR BRIDGE  B-29-0015</v>
      </c>
      <c r="G1861" s="3" t="str">
        <f>CLEAN("DESIGN/PLAN CHECK REVIEW/BR RECONST")</f>
        <v>DESIGN/PLAN CHECK REVIEW/BR RECONST</v>
      </c>
      <c r="H1861" s="2" t="str">
        <f>CLEAN("CTH H")</f>
        <v>CTH H</v>
      </c>
      <c r="I1861" s="2" t="str">
        <f t="shared" ref="I1861:I1866" si="302">CLEAN("205")</f>
        <v>205</v>
      </c>
    </row>
    <row r="1862" spans="1:9" x14ac:dyDescent="0.35">
      <c r="A1862" s="2" t="str">
        <f t="shared" si="300"/>
        <v>JUNEAU</v>
      </c>
      <c r="B1862" s="2" t="str">
        <f t="shared" si="301"/>
        <v>JUNEAU COUNTY</v>
      </c>
      <c r="C1862" s="2" t="s">
        <v>1874</v>
      </c>
      <c r="D1862" s="2" t="str">
        <f>CLEAN("5827-00-01")</f>
        <v>5827-00-01</v>
      </c>
      <c r="E1862" s="3" t="str">
        <f>CLEAN("V HUSTLER - T ORANGE (CTH H)")</f>
        <v>V HUSTLER - T ORANGE (CTH H)</v>
      </c>
      <c r="F1862" s="3" t="str">
        <f>CLEAN("LITTLE LEMONWEIR BRIDGE B-29-0015")</f>
        <v>LITTLE LEMONWEIR BRIDGE B-29-0015</v>
      </c>
      <c r="G1862" s="3" t="str">
        <f>CLEAN("DESIGN/FULL PS&amp;E BRRPL")</f>
        <v>DESIGN/FULL PS&amp;E BRRPL</v>
      </c>
      <c r="H1862" s="2" t="str">
        <f>CLEAN("CTH H")</f>
        <v>CTH H</v>
      </c>
      <c r="I1862" s="2" t="str">
        <f t="shared" si="302"/>
        <v>205</v>
      </c>
    </row>
    <row r="1863" spans="1:9" x14ac:dyDescent="0.35">
      <c r="A1863" s="2" t="str">
        <f t="shared" si="300"/>
        <v>JUNEAU</v>
      </c>
      <c r="B1863" s="2" t="str">
        <f t="shared" si="301"/>
        <v>JUNEAU COUNTY</v>
      </c>
      <c r="C1863" s="2" t="s">
        <v>108</v>
      </c>
      <c r="D1863" s="2" t="str">
        <f>CLEAN("5827-00-71")</f>
        <v>5827-00-71</v>
      </c>
      <c r="E1863" s="3" t="str">
        <f>CLEAN("V HUSTLER - T ORANGE (CTH H)")</f>
        <v>V HUSTLER - T ORANGE (CTH H)</v>
      </c>
      <c r="F1863" s="3" t="str">
        <f>CLEAN("LITTLE LEMONWEIR BRIDGE B-29-0166")</f>
        <v>LITTLE LEMONWEIR BRIDGE B-29-0166</v>
      </c>
      <c r="G1863" s="3" t="str">
        <f>CLEAN("CONST OPS/BRIDGE REPLACEMENT")</f>
        <v>CONST OPS/BRIDGE REPLACEMENT</v>
      </c>
      <c r="H1863" s="2" t="str">
        <f>CLEAN("CTH H")</f>
        <v>CTH H</v>
      </c>
      <c r="I1863" s="2" t="str">
        <f t="shared" si="302"/>
        <v>205</v>
      </c>
    </row>
    <row r="1864" spans="1:9" x14ac:dyDescent="0.35">
      <c r="A1864" s="2" t="str">
        <f t="shared" si="300"/>
        <v>JUNEAU</v>
      </c>
      <c r="B1864" s="2" t="str">
        <f t="shared" si="301"/>
        <v>JUNEAU COUNTY</v>
      </c>
      <c r="C1864" s="2" t="s">
        <v>2097</v>
      </c>
      <c r="D1864" s="2" t="str">
        <f>CLEAN("5835-00-00")</f>
        <v>5835-00-00</v>
      </c>
      <c r="E1864" s="3" t="str">
        <f>CLEAN("T PLYMOUTH  HYER ROAD")</f>
        <v>T PLYMOUTH  HYER ROAD</v>
      </c>
      <c r="F1864" s="3" t="str">
        <f>CLEAN("BIKE TRAIL BRIDGE P-29-0140")</f>
        <v>BIKE TRAIL BRIDGE P-29-0140</v>
      </c>
      <c r="G1864" s="3" t="str">
        <f>CLEAN("DESIGN/PLAN CHECK REVIEW/BRRPL")</f>
        <v>DESIGN/PLAN CHECK REVIEW/BRRPL</v>
      </c>
      <c r="H1864" s="2" t="str">
        <f>CLEAN("LOC STR")</f>
        <v>LOC STR</v>
      </c>
      <c r="I1864" s="2" t="str">
        <f t="shared" si="302"/>
        <v>205</v>
      </c>
    </row>
    <row r="1865" spans="1:9" x14ac:dyDescent="0.35">
      <c r="A1865" s="2" t="str">
        <f t="shared" si="300"/>
        <v>JUNEAU</v>
      </c>
      <c r="B1865" s="2" t="str">
        <f t="shared" si="301"/>
        <v>JUNEAU COUNTY</v>
      </c>
      <c r="C1865" s="2" t="s">
        <v>1795</v>
      </c>
      <c r="D1865" s="2" t="str">
        <f>CLEAN("7382-00-01")</f>
        <v>7382-00-01</v>
      </c>
      <c r="E1865" s="3" t="str">
        <f>CLEAN("C NEW LISBON - IH 90")</f>
        <v>C NEW LISBON - IH 90</v>
      </c>
      <c r="F1865" s="3" t="str">
        <f>CLEAN("LTL LEMONWEIR RVR BRIDGE B-29-0014")</f>
        <v>LTL LEMONWEIR RVR BRIDGE B-29-0014</v>
      </c>
      <c r="G1865" s="3" t="str">
        <f>CLEAN("DESIGN/BRIDGE REPLACEMENT")</f>
        <v>DESIGN/BRIDGE REPLACEMENT</v>
      </c>
      <c r="H1865" s="2" t="str">
        <f>CLEAN("CTH M")</f>
        <v>CTH M</v>
      </c>
      <c r="I1865" s="2" t="str">
        <f t="shared" si="302"/>
        <v>205</v>
      </c>
    </row>
    <row r="1866" spans="1:9" x14ac:dyDescent="0.35">
      <c r="A1866" s="2" t="str">
        <f t="shared" si="300"/>
        <v>JUNEAU</v>
      </c>
      <c r="B1866" s="2" t="str">
        <f t="shared" si="301"/>
        <v>JUNEAU COUNTY</v>
      </c>
      <c r="C1866" s="2" t="s">
        <v>452</v>
      </c>
      <c r="D1866" s="2" t="str">
        <f>CLEAN("7382-00-71")</f>
        <v>7382-00-71</v>
      </c>
      <c r="E1866" s="3" t="str">
        <f>CLEAN("C NEW LISBON - IH 90")</f>
        <v>C NEW LISBON - IH 90</v>
      </c>
      <c r="F1866" s="3" t="str">
        <f>CLEAN("LTL LEMONWEIR RVR BRIDGE B-29-0168")</f>
        <v>LTL LEMONWEIR RVR BRIDGE B-29-0168</v>
      </c>
      <c r="G1866" s="3" t="str">
        <f>CLEAN("CONST/BRIDGE REPLACEMENT")</f>
        <v>CONST/BRIDGE REPLACEMENT</v>
      </c>
      <c r="H1866" s="2" t="str">
        <f>CLEAN("CTH M")</f>
        <v>CTH M</v>
      </c>
      <c r="I1866" s="2" t="str">
        <f t="shared" si="302"/>
        <v>205</v>
      </c>
    </row>
    <row r="1867" spans="1:9" x14ac:dyDescent="0.35">
      <c r="A1867" s="2" t="str">
        <f>CLEAN("DANE")</f>
        <v>DANE</v>
      </c>
      <c r="B1867" s="2" t="str">
        <f>CLEAN("KEGONSA SANITARY DISTRICT")</f>
        <v>KEGONSA SANITARY DISTRICT</v>
      </c>
      <c r="C1867" s="2" t="s">
        <v>589</v>
      </c>
      <c r="D1867" s="2" t="str">
        <f>CLEAN("5845-01-70")</f>
        <v>5845-01-70</v>
      </c>
      <c r="E1867" s="3" t="str">
        <f>CLEAN("STOUGHTON - MADISON")</f>
        <v>STOUGHTON - MADISON</v>
      </c>
      <c r="F1867" s="3" t="str">
        <f>CLEAN("CTH B/CTH AB INTERSECTION")</f>
        <v>CTH B/CTH AB INTERSECTION</v>
      </c>
      <c r="G1867" s="3" t="str">
        <f>CLEAN("CONST/INTERSECTION SAFETY/RAB/RCND")</f>
        <v>CONST/INTERSECTION SAFETY/RAB/RCND</v>
      </c>
      <c r="H1867" s="2" t="str">
        <f>CLEAN("USH 051")</f>
        <v>USH 051</v>
      </c>
      <c r="I1867" s="2" t="str">
        <f>CLEAN("302")</f>
        <v>302</v>
      </c>
    </row>
    <row r="1868" spans="1:9" x14ac:dyDescent="0.35">
      <c r="A1868" s="2" t="str">
        <f>CLEAN("DANE")</f>
        <v>DANE</v>
      </c>
      <c r="B1868" s="2" t="str">
        <f>CLEAN("KEGONSA SANITARY DISTRICT")</f>
        <v>KEGONSA SANITARY DISTRICT</v>
      </c>
      <c r="C1868" s="2" t="s">
        <v>328</v>
      </c>
      <c r="D1868" s="2" t="str">
        <f>CLEAN("5845-16-90")</f>
        <v>5845-16-90</v>
      </c>
      <c r="E1868" s="3" t="str">
        <f>CLEAN("STOUGHTON - MADISON")</f>
        <v>STOUGHTON - MADISON</v>
      </c>
      <c r="F1868" s="3" t="str">
        <f>CLEAN("EXCHANGE ST TO LARSON BEACH RD")</f>
        <v>EXCHANGE ST TO LARSON BEACH RD</v>
      </c>
      <c r="G1868" s="3" t="str">
        <f>CLEAN("CONST/ LKSD/ RECST")</f>
        <v>CONST/ LKSD/ RECST</v>
      </c>
      <c r="H1868" s="2" t="str">
        <f>CLEAN("USH 051")</f>
        <v>USH 051</v>
      </c>
      <c r="I1868" s="2" t="str">
        <f>CLEAN("302")</f>
        <v>302</v>
      </c>
    </row>
    <row r="1869" spans="1:9" x14ac:dyDescent="0.35">
      <c r="A1869" s="2" t="str">
        <f t="shared" ref="A1869:A1892" si="303">CLEAN("KENOSHA")</f>
        <v>KENOSHA</v>
      </c>
      <c r="B1869" s="2" t="str">
        <f t="shared" ref="B1869:B1899" si="304">CLEAN("KENOSHA COUNTY")</f>
        <v>KENOSHA COUNTY</v>
      </c>
      <c r="C1869" s="2" t="s">
        <v>2849</v>
      </c>
      <c r="D1869" s="2" t="str">
        <f>CLEAN("2370-06-01")</f>
        <v>2370-06-01</v>
      </c>
      <c r="E1869" s="3" t="str">
        <f>CLEAN("V TWIN LAKES/T RANDALL CTH F PATH")</f>
        <v>V TWIN LAKES/T RANDALL CTH F PATH</v>
      </c>
      <c r="F1869" s="3" t="str">
        <f>CLEAN("352 AVE TO ICE HOUSE TRAIL")</f>
        <v>352 AVE TO ICE HOUSE TRAIL</v>
      </c>
      <c r="G1869" s="3" t="str">
        <f>CLEAN("PE/FULL PSE/MISC")</f>
        <v>PE/FULL PSE/MISC</v>
      </c>
      <c r="H1869" s="2" t="str">
        <f>CLEAN("NON HWY")</f>
        <v>NON HWY</v>
      </c>
      <c r="I1869" s="2" t="str">
        <f>CLEAN("211")</f>
        <v>211</v>
      </c>
    </row>
    <row r="1870" spans="1:9" x14ac:dyDescent="0.35">
      <c r="A1870" s="2" t="str">
        <f t="shared" si="303"/>
        <v>KENOSHA</v>
      </c>
      <c r="B1870" s="2" t="str">
        <f t="shared" si="304"/>
        <v>KENOSHA COUNTY</v>
      </c>
      <c r="C1870" s="2" t="s">
        <v>2973</v>
      </c>
      <c r="D1870" s="2" t="str">
        <f>CLEAN("3732-08-01")</f>
        <v>3732-08-01</v>
      </c>
      <c r="E1870" s="3" t="str">
        <f>CLEAN("C KENOSHA  60TH ST")</f>
        <v>C KENOSHA  60TH ST</v>
      </c>
      <c r="F1870" s="3" t="str">
        <f>CLEAN("115TH AVE TO 94TH CT")</f>
        <v>115TH AVE TO 94TH CT</v>
      </c>
      <c r="G1870" s="3" t="str">
        <f>CLEAN("PE/STATE REVIEW ONLY")</f>
        <v>PE/STATE REVIEW ONLY</v>
      </c>
      <c r="H1870" s="2" t="str">
        <f>CLEAN("CTH K")</f>
        <v>CTH K</v>
      </c>
      <c r="I1870" s="2" t="str">
        <f>CLEAN("206")</f>
        <v>206</v>
      </c>
    </row>
    <row r="1871" spans="1:9" x14ac:dyDescent="0.35">
      <c r="A1871" s="2" t="str">
        <f t="shared" si="303"/>
        <v>KENOSHA</v>
      </c>
      <c r="B1871" s="2" t="str">
        <f t="shared" si="304"/>
        <v>KENOSHA COUNTY</v>
      </c>
      <c r="C1871" s="2" t="s">
        <v>2944</v>
      </c>
      <c r="D1871" s="2" t="str">
        <f>CLEAN("3732-09-01")</f>
        <v>3732-09-01</v>
      </c>
      <c r="E1871" s="3" t="str">
        <f>CLEAN("CTH K")</f>
        <v>CTH K</v>
      </c>
      <c r="F1871" s="3" t="str">
        <f>CLEAN("UPRR TO 94TH CT")</f>
        <v>UPRR TO 94TH CT</v>
      </c>
      <c r="G1871" s="3" t="str">
        <f>CLEAN("PE/RECONSTRUCT NO ADDED CAPACITY")</f>
        <v>PE/RECONSTRUCT NO ADDED CAPACITY</v>
      </c>
      <c r="H1871" s="2" t="str">
        <f>CLEAN("CTH K")</f>
        <v>CTH K</v>
      </c>
      <c r="I1871" s="2" t="str">
        <f>CLEAN("206")</f>
        <v>206</v>
      </c>
    </row>
    <row r="1872" spans="1:9" x14ac:dyDescent="0.35">
      <c r="A1872" s="2" t="str">
        <f t="shared" si="303"/>
        <v>KENOSHA</v>
      </c>
      <c r="B1872" s="2" t="str">
        <f t="shared" si="304"/>
        <v>KENOSHA COUNTY</v>
      </c>
      <c r="C1872" s="2" t="s">
        <v>2694</v>
      </c>
      <c r="D1872" s="2" t="str">
        <f>CLEAN("3736-01-02")</f>
        <v>3736-01-02</v>
      </c>
      <c r="E1872" s="3" t="str">
        <f>CLEAN("V PLEASANT PRAIRIE  CTH C")</f>
        <v>V PLEASANT PRAIRIE  CTH C</v>
      </c>
      <c r="F1872" s="3" t="str">
        <f>CLEAN("DES PLAINES RIVER BRIDGE B30-0573")</f>
        <v>DES PLAINES RIVER BRIDGE B30-0573</v>
      </c>
      <c r="G1872" s="3" t="str">
        <f>CLEAN("PE/FULL PS&amp;E ROW/BRRPL")</f>
        <v>PE/FULL PS&amp;E ROW/BRRPL</v>
      </c>
      <c r="H1872" s="2" t="str">
        <f>CLEAN("CTH C")</f>
        <v>CTH C</v>
      </c>
      <c r="I1872" s="2" t="str">
        <f>CLEAN("205")</f>
        <v>205</v>
      </c>
    </row>
    <row r="1873" spans="1:9" x14ac:dyDescent="0.35">
      <c r="A1873" s="2" t="str">
        <f t="shared" si="303"/>
        <v>KENOSHA</v>
      </c>
      <c r="B1873" s="2" t="str">
        <f t="shared" si="304"/>
        <v>KENOSHA COUNTY</v>
      </c>
      <c r="C1873" s="2" t="s">
        <v>2845</v>
      </c>
      <c r="D1873" s="2" t="str">
        <f>CLEAN("3736-05-01")</f>
        <v>3736-05-01</v>
      </c>
      <c r="E1873" s="3" t="str">
        <f>CLEAN("CTH C TRAIL PHASE 2")</f>
        <v>CTH C TRAIL PHASE 2</v>
      </c>
      <c r="F1873" s="3" t="str">
        <f>CLEAN("128TH AVE TO 136TH AVE")</f>
        <v>128TH AVE TO 136TH AVE</v>
      </c>
      <c r="G1873" s="3" t="str">
        <f>CLEAN("PE/FULL PSE/MISC")</f>
        <v>PE/FULL PSE/MISC</v>
      </c>
      <c r="H1873" s="2" t="str">
        <f>CLEAN("NON HWY")</f>
        <v>NON HWY</v>
      </c>
      <c r="I1873" s="2" t="str">
        <f>CLEAN("290")</f>
        <v>290</v>
      </c>
    </row>
    <row r="1874" spans="1:9" x14ac:dyDescent="0.35">
      <c r="A1874" s="2" t="str">
        <f t="shared" si="303"/>
        <v>KENOSHA</v>
      </c>
      <c r="B1874" s="2" t="str">
        <f t="shared" si="304"/>
        <v>KENOSHA COUNTY</v>
      </c>
      <c r="C1874" s="2" t="s">
        <v>2859</v>
      </c>
      <c r="D1874" s="2" t="str">
        <f>CLEAN("3766-02-01")</f>
        <v>3766-02-01</v>
      </c>
      <c r="E1874" s="3" t="str">
        <f>CLEAN("V SOMERS  12TH ST")</f>
        <v>V SOMERS  12TH ST</v>
      </c>
      <c r="F1874" s="3" t="str">
        <f>CLEAN("INTERSECTION WITH 22ND AVE (CTH Y)")</f>
        <v>INTERSECTION WITH 22ND AVE (CTH Y)</v>
      </c>
      <c r="G1874" s="3" t="str">
        <f>CLEAN("PE/FULL PSE/MISC")</f>
        <v>PE/FULL PSE/MISC</v>
      </c>
      <c r="H1874" s="2" t="str">
        <f>CLEAN("CTH E")</f>
        <v>CTH E</v>
      </c>
      <c r="I1874" s="2" t="str">
        <f t="shared" ref="I1874:I1880" si="305">CLEAN("206")</f>
        <v>206</v>
      </c>
    </row>
    <row r="1875" spans="1:9" x14ac:dyDescent="0.35">
      <c r="A1875" s="2" t="str">
        <f t="shared" si="303"/>
        <v>KENOSHA</v>
      </c>
      <c r="B1875" s="2" t="str">
        <f t="shared" si="304"/>
        <v>KENOSHA COUNTY</v>
      </c>
      <c r="C1875" s="2" t="s">
        <v>2994</v>
      </c>
      <c r="D1875" s="2" t="str">
        <f>CLEAN("3830-06-01")</f>
        <v>3830-06-01</v>
      </c>
      <c r="E1875" s="3" t="str">
        <f>CLEAN("ENERGY EFFICIENT BEACON CONVERSIONS")</f>
        <v>ENERGY EFFICIENT BEACON CONVERSIONS</v>
      </c>
      <c r="F1875" s="3" t="str">
        <f>CLEAN("KENOSHA COUNTY-1 INTERSECTION  RLB")</f>
        <v>KENOSHA COUNTY-1 INTERSECTION  RLB</v>
      </c>
      <c r="G1875" s="3" t="str">
        <f>CLEAN("PE/STATE REVIEW ONLY")</f>
        <v>PE/STATE REVIEW ONLY</v>
      </c>
      <c r="H1875" s="2" t="str">
        <f>CLEAN("CTH F")</f>
        <v>CTH F</v>
      </c>
      <c r="I1875" s="2" t="str">
        <f t="shared" si="305"/>
        <v>206</v>
      </c>
    </row>
    <row r="1876" spans="1:9" x14ac:dyDescent="0.35">
      <c r="A1876" s="2" t="str">
        <f t="shared" si="303"/>
        <v>KENOSHA</v>
      </c>
      <c r="B1876" s="2" t="str">
        <f t="shared" si="304"/>
        <v>KENOSHA COUNTY</v>
      </c>
      <c r="C1876" s="2" t="s">
        <v>2992</v>
      </c>
      <c r="D1876" s="2" t="str">
        <f>CLEAN("3830-06-02")</f>
        <v>3830-06-02</v>
      </c>
      <c r="E1876" s="3" t="str">
        <f>CLEAN("ENERGY EFFICIENT BEACON CONVERSIONS")</f>
        <v>ENERGY EFFICIENT BEACON CONVERSIONS</v>
      </c>
      <c r="F1876" s="3" t="str">
        <f>CLEAN("KENOSHA COUNTY - 1 INTERSECTION")</f>
        <v>KENOSHA COUNTY - 1 INTERSECTION</v>
      </c>
      <c r="G1876" s="3" t="str">
        <f>CLEAN("PE/STATE REVIEW ONLY")</f>
        <v>PE/STATE REVIEW ONLY</v>
      </c>
      <c r="H1876" s="2" t="str">
        <f>CLEAN("CTH K")</f>
        <v>CTH K</v>
      </c>
      <c r="I1876" s="2" t="str">
        <f t="shared" si="305"/>
        <v>206</v>
      </c>
    </row>
    <row r="1877" spans="1:9" x14ac:dyDescent="0.35">
      <c r="A1877" s="2" t="str">
        <f t="shared" si="303"/>
        <v>KENOSHA</v>
      </c>
      <c r="B1877" s="2" t="str">
        <f t="shared" si="304"/>
        <v>KENOSHA COUNTY</v>
      </c>
      <c r="C1877" s="2" t="s">
        <v>2993</v>
      </c>
      <c r="D1877" s="2" t="str">
        <f>CLEAN("3830-06-03")</f>
        <v>3830-06-03</v>
      </c>
      <c r="E1877" s="3" t="str">
        <f>CLEAN("ENERGY EFFICIENT BEACON CONVERSIONS")</f>
        <v>ENERGY EFFICIENT BEACON CONVERSIONS</v>
      </c>
      <c r="F1877" s="3" t="str">
        <f>CLEAN("KENOSHA COUNTY - 2 INT  TWIN LAKES")</f>
        <v>KENOSHA COUNTY - 2 INT  TWIN LAKES</v>
      </c>
      <c r="G1877" s="3" t="str">
        <f>CLEAN("PE/STATE REVIEW ONLY")</f>
        <v>PE/STATE REVIEW ONLY</v>
      </c>
      <c r="H1877" s="2" t="str">
        <f>CLEAN("VAR HWY")</f>
        <v>VAR HWY</v>
      </c>
      <c r="I1877" s="2" t="str">
        <f t="shared" si="305"/>
        <v>206</v>
      </c>
    </row>
    <row r="1878" spans="1:9" x14ac:dyDescent="0.35">
      <c r="A1878" s="2" t="str">
        <f t="shared" si="303"/>
        <v>KENOSHA</v>
      </c>
      <c r="B1878" s="2" t="str">
        <f t="shared" si="304"/>
        <v>KENOSHA COUNTY</v>
      </c>
      <c r="C1878" s="2" t="s">
        <v>3306</v>
      </c>
      <c r="D1878" s="2" t="str">
        <f>CLEAN("3210-00-55")</f>
        <v>3210-00-55</v>
      </c>
      <c r="E1878" s="3" t="str">
        <f>CLEAN("CTH S")</f>
        <v>CTH S</v>
      </c>
      <c r="F1878" s="3" t="str">
        <f>CLEAN("UNION PACIFIC RR XING 176893V")</f>
        <v>UNION PACIFIC RR XING 176893V</v>
      </c>
      <c r="G1878" s="3" t="str">
        <f>CLEAN("RR/RR WARNING DEVICES")</f>
        <v>RR/RR WARNING DEVICES</v>
      </c>
      <c r="H1878" s="2" t="str">
        <f>CLEAN("CTH S")</f>
        <v>CTH S</v>
      </c>
      <c r="I1878" s="2" t="str">
        <f t="shared" si="305"/>
        <v>206</v>
      </c>
    </row>
    <row r="1879" spans="1:9" x14ac:dyDescent="0.35">
      <c r="A1879" s="2" t="str">
        <f t="shared" si="303"/>
        <v>KENOSHA</v>
      </c>
      <c r="B1879" s="2" t="str">
        <f t="shared" si="304"/>
        <v>KENOSHA COUNTY</v>
      </c>
      <c r="C1879" s="2" t="s">
        <v>3299</v>
      </c>
      <c r="D1879" s="2" t="str">
        <f>CLEAN("3210-00-56")</f>
        <v>3210-00-56</v>
      </c>
      <c r="E1879" s="3" t="str">
        <f>CLEAN("CTH S")</f>
        <v>CTH S</v>
      </c>
      <c r="F1879" s="3" t="str">
        <f>CLEAN("UNION PACIFIC RR XING 176893V")</f>
        <v>UNION PACIFIC RR XING 176893V</v>
      </c>
      <c r="G1879" s="3" t="str">
        <f>CLEAN("RR/NEW RR CROSSING SURFACE")</f>
        <v>RR/NEW RR CROSSING SURFACE</v>
      </c>
      <c r="H1879" s="2" t="str">
        <f>CLEAN("CTH S")</f>
        <v>CTH S</v>
      </c>
      <c r="I1879" s="2" t="str">
        <f t="shared" si="305"/>
        <v>206</v>
      </c>
    </row>
    <row r="1880" spans="1:9" x14ac:dyDescent="0.35">
      <c r="A1880" s="2" t="str">
        <f t="shared" si="303"/>
        <v>KENOSHA</v>
      </c>
      <c r="B1880" s="2" t="str">
        <f t="shared" si="304"/>
        <v>KENOSHA COUNTY</v>
      </c>
      <c r="C1880" s="2" t="s">
        <v>817</v>
      </c>
      <c r="D1880" s="2" t="str">
        <f>CLEAN("3210-00-75")</f>
        <v>3210-00-75</v>
      </c>
      <c r="E1880" s="3" t="str">
        <f>CLEAN("CTH S")</f>
        <v>CTH S</v>
      </c>
      <c r="F1880" s="3" t="str">
        <f>CLEAN("CTH H TO BRUMBACK BLVD")</f>
        <v>CTH H TO BRUMBACK BLVD</v>
      </c>
      <c r="G1880" s="3" t="str">
        <f>CLEAN("CONST/RECONSTRUCTION  EXPANSION")</f>
        <v>CONST/RECONSTRUCTION  EXPANSION</v>
      </c>
      <c r="H1880" s="2" t="str">
        <f>CLEAN("CTH S")</f>
        <v>CTH S</v>
      </c>
      <c r="I1880" s="2" t="str">
        <f t="shared" si="305"/>
        <v>206</v>
      </c>
    </row>
    <row r="1881" spans="1:9" x14ac:dyDescent="0.35">
      <c r="A1881" s="2" t="str">
        <f t="shared" si="303"/>
        <v>KENOSHA</v>
      </c>
      <c r="B1881" s="2" t="str">
        <f t="shared" si="304"/>
        <v>KENOSHA COUNTY</v>
      </c>
      <c r="C1881" s="2" t="s">
        <v>1070</v>
      </c>
      <c r="D1881" s="2" t="str">
        <f>CLEAN("3724-04-70")</f>
        <v>3724-04-70</v>
      </c>
      <c r="E1881" s="3" t="str">
        <f>CLEAN("KENOSHA CO/KROGER FULFILLMENT")</f>
        <v>KENOSHA CO/KROGER FULFILLMENT</v>
      </c>
      <c r="F1881" s="3" t="str">
        <f>CLEAN("CTH H")</f>
        <v>CTH H</v>
      </c>
      <c r="G1881" s="3" t="str">
        <f>CLEAN("CONST/TEA/TURN LANES &amp; RECST")</f>
        <v>CONST/TEA/TURN LANES &amp; RECST</v>
      </c>
      <c r="H1881" s="2" t="str">
        <f>CLEAN("CTH H")</f>
        <v>CTH H</v>
      </c>
      <c r="I1881" s="2" t="str">
        <f>CLEAN("209")</f>
        <v>209</v>
      </c>
    </row>
    <row r="1882" spans="1:9" x14ac:dyDescent="0.35">
      <c r="A1882" s="2" t="str">
        <f t="shared" si="303"/>
        <v>KENOSHA</v>
      </c>
      <c r="B1882" s="2" t="str">
        <f t="shared" si="304"/>
        <v>KENOSHA COUNTY</v>
      </c>
      <c r="C1882" s="2" t="s">
        <v>3273</v>
      </c>
      <c r="D1882" s="2" t="str">
        <f>CLEAN("3732-09-51")</f>
        <v>3732-09-51</v>
      </c>
      <c r="E1882" s="3" t="str">
        <f>CLEAN("CTH K")</f>
        <v>CTH K</v>
      </c>
      <c r="F1882" s="3" t="str">
        <f>CLEAN("SOO LINE (CP) RR XING 388028P")</f>
        <v>SOO LINE (CP) RR XING 388028P</v>
      </c>
      <c r="G1882" s="3" t="str">
        <f>CLEAN("RR OPS/SIGNALS")</f>
        <v>RR OPS/SIGNALS</v>
      </c>
      <c r="H1882" s="2" t="str">
        <f>CLEAN("CTH K")</f>
        <v>CTH K</v>
      </c>
      <c r="I1882" s="2" t="str">
        <f>CLEAN("206")</f>
        <v>206</v>
      </c>
    </row>
    <row r="1883" spans="1:9" x14ac:dyDescent="0.35">
      <c r="A1883" s="2" t="str">
        <f t="shared" si="303"/>
        <v>KENOSHA</v>
      </c>
      <c r="B1883" s="2" t="str">
        <f t="shared" si="304"/>
        <v>KENOSHA COUNTY</v>
      </c>
      <c r="C1883" s="2" t="s">
        <v>3223</v>
      </c>
      <c r="D1883" s="2" t="str">
        <f>CLEAN("3732-09-52")</f>
        <v>3732-09-52</v>
      </c>
      <c r="E1883" s="3" t="str">
        <f>CLEAN("CTH K")</f>
        <v>CTH K</v>
      </c>
      <c r="F1883" s="3" t="str">
        <f>CLEAN("SOO LINE (CP) RR XING 388028P")</f>
        <v>SOO LINE (CP) RR XING 388028P</v>
      </c>
      <c r="G1883" s="3" t="str">
        <f>CLEAN("RR OPS/CROSSING SURFACE")</f>
        <v>RR OPS/CROSSING SURFACE</v>
      </c>
      <c r="H1883" s="2" t="str">
        <f>CLEAN("CTH K")</f>
        <v>CTH K</v>
      </c>
      <c r="I1883" s="2" t="str">
        <f>CLEAN("206")</f>
        <v>206</v>
      </c>
    </row>
    <row r="1884" spans="1:9" x14ac:dyDescent="0.35">
      <c r="A1884" s="2" t="str">
        <f t="shared" si="303"/>
        <v>KENOSHA</v>
      </c>
      <c r="B1884" s="2" t="str">
        <f t="shared" si="304"/>
        <v>KENOSHA COUNTY</v>
      </c>
      <c r="C1884" s="2" t="s">
        <v>3224</v>
      </c>
      <c r="D1884" s="2" t="str">
        <f>CLEAN("3732-09-53")</f>
        <v>3732-09-53</v>
      </c>
      <c r="E1884" s="3" t="str">
        <f>CLEAN("CTH K")</f>
        <v>CTH K</v>
      </c>
      <c r="F1884" s="3" t="str">
        <f>CLEAN("UNION PACIFIC  RR XING 176895J")</f>
        <v>UNION PACIFIC  RR XING 176895J</v>
      </c>
      <c r="G1884" s="3" t="str">
        <f>CLEAN("RR OPS/CROSSING SURFACE")</f>
        <v>RR OPS/CROSSING SURFACE</v>
      </c>
      <c r="H1884" s="2" t="str">
        <f>CLEAN("CTH K")</f>
        <v>CTH K</v>
      </c>
      <c r="I1884" s="2" t="str">
        <f>CLEAN("206")</f>
        <v>206</v>
      </c>
    </row>
    <row r="1885" spans="1:9" x14ac:dyDescent="0.35">
      <c r="A1885" s="2" t="str">
        <f t="shared" si="303"/>
        <v>KENOSHA</v>
      </c>
      <c r="B1885" s="2" t="str">
        <f t="shared" si="304"/>
        <v>KENOSHA COUNTY</v>
      </c>
      <c r="C1885" s="2" t="s">
        <v>794</v>
      </c>
      <c r="D1885" s="2" t="str">
        <f>CLEAN("3732-09-71")</f>
        <v>3732-09-71</v>
      </c>
      <c r="E1885" s="3" t="str">
        <f>CLEAN("CTH K")</f>
        <v>CTH K</v>
      </c>
      <c r="F1885" s="3" t="str">
        <f>CLEAN("UPRR TO 94TH CT")</f>
        <v>UPRR TO 94TH CT</v>
      </c>
      <c r="G1885" s="3" t="str">
        <f>CLEAN("CONST/RECONSTRUCT NO ADDL LANES")</f>
        <v>CONST/RECONSTRUCT NO ADDL LANES</v>
      </c>
      <c r="H1885" s="2" t="str">
        <f>CLEAN("CTH K")</f>
        <v>CTH K</v>
      </c>
      <c r="I1885" s="2" t="str">
        <f>CLEAN("206")</f>
        <v>206</v>
      </c>
    </row>
    <row r="1886" spans="1:9" x14ac:dyDescent="0.35">
      <c r="A1886" s="2" t="str">
        <f t="shared" si="303"/>
        <v>KENOSHA</v>
      </c>
      <c r="B1886" s="2" t="str">
        <f t="shared" si="304"/>
        <v>KENOSHA COUNTY</v>
      </c>
      <c r="C1886" s="2" t="s">
        <v>1082</v>
      </c>
      <c r="D1886" s="2" t="str">
        <f>CLEAN("3736-05-71")</f>
        <v>3736-05-71</v>
      </c>
      <c r="E1886" s="3" t="str">
        <f>CLEAN("CTH C TRAIL PHASE 2")</f>
        <v>CTH C TRAIL PHASE 2</v>
      </c>
      <c r="F1886" s="3" t="str">
        <f>CLEAN("128TH AVE TO 136TH AVE")</f>
        <v>128TH AVE TO 136TH AVE</v>
      </c>
      <c r="G1886" s="3" t="str">
        <f>CLEAN("CONST/TRAIL")</f>
        <v>CONST/TRAIL</v>
      </c>
      <c r="H1886" s="2" t="str">
        <f>CLEAN("NON HWY")</f>
        <v>NON HWY</v>
      </c>
      <c r="I1886" s="2" t="str">
        <f>CLEAN("290")</f>
        <v>290</v>
      </c>
    </row>
    <row r="1887" spans="1:9" x14ac:dyDescent="0.35">
      <c r="A1887" s="2" t="str">
        <f t="shared" si="303"/>
        <v>KENOSHA</v>
      </c>
      <c r="B1887" s="2" t="str">
        <f t="shared" si="304"/>
        <v>KENOSHA COUNTY</v>
      </c>
      <c r="C1887" s="2" t="s">
        <v>2644</v>
      </c>
      <c r="D1887" s="2" t="str">
        <f>CLEAN("3745-00-00")</f>
        <v>3745-00-00</v>
      </c>
      <c r="E1887" s="3" t="str">
        <f>CLEAN("CTH WG")</f>
        <v>CTH WG</v>
      </c>
      <c r="F1887" s="3" t="str">
        <f>CLEAN("BRIDGE OVER DUTCH GAP CANAL P300900")</f>
        <v>BRIDGE OVER DUTCH GAP CANAL P300900</v>
      </c>
      <c r="G1887" s="3" t="str">
        <f>CLEAN("PE/BRIDGE REPLACEMENT")</f>
        <v>PE/BRIDGE REPLACEMENT</v>
      </c>
      <c r="H1887" s="2" t="str">
        <f>CLEAN("CTH WG")</f>
        <v>CTH WG</v>
      </c>
      <c r="I1887" s="2" t="str">
        <f>CLEAN("205")</f>
        <v>205</v>
      </c>
    </row>
    <row r="1888" spans="1:9" x14ac:dyDescent="0.35">
      <c r="A1888" s="2" t="str">
        <f t="shared" si="303"/>
        <v>KENOSHA</v>
      </c>
      <c r="B1888" s="2" t="str">
        <f t="shared" si="304"/>
        <v>KENOSHA COUNTY</v>
      </c>
      <c r="C1888" s="2" t="s">
        <v>418</v>
      </c>
      <c r="D1888" s="2" t="str">
        <f>CLEAN("3745-00-70")</f>
        <v>3745-00-70</v>
      </c>
      <c r="E1888" s="3" t="str">
        <f>CLEAN("CTH WG")</f>
        <v>CTH WG</v>
      </c>
      <c r="F1888" s="3" t="str">
        <f>CLEAN("BRIDGE OVER DUTCH GAP CANAL P300900")</f>
        <v>BRIDGE OVER DUTCH GAP CANAL P300900</v>
      </c>
      <c r="G1888" s="3" t="str">
        <f>CLEAN("CONST/BRIDGE REPLACEMENT")</f>
        <v>CONST/BRIDGE REPLACEMENT</v>
      </c>
      <c r="H1888" s="2" t="str">
        <f>CLEAN("CTH WG")</f>
        <v>CTH WG</v>
      </c>
      <c r="I1888" s="2" t="str">
        <f>CLEAN("205")</f>
        <v>205</v>
      </c>
    </row>
    <row r="1889" spans="1:9" x14ac:dyDescent="0.35">
      <c r="A1889" s="2" t="str">
        <f t="shared" si="303"/>
        <v>KENOSHA</v>
      </c>
      <c r="B1889" s="2" t="str">
        <f t="shared" si="304"/>
        <v>KENOSHA COUNTY</v>
      </c>
      <c r="C1889" s="2" t="s">
        <v>2833</v>
      </c>
      <c r="D1889" s="2" t="str">
        <f>CLEAN("3745-05-00")</f>
        <v>3745-05-00</v>
      </c>
      <c r="E1889" s="3" t="str">
        <f>CLEAN("V BRISTOL  128TH ST")</f>
        <v>V BRISTOL  128TH ST</v>
      </c>
      <c r="F1889" s="3" t="str">
        <f>CLEAN("DUTCH GAP CANAL BRIDGE P30-910")</f>
        <v>DUTCH GAP CANAL BRIDGE P30-910</v>
      </c>
      <c r="G1889" s="3" t="str">
        <f>CLEAN("PE/FULL PSE/BRIDGE REPLACEMENT")</f>
        <v>PE/FULL PSE/BRIDGE REPLACEMENT</v>
      </c>
      <c r="H1889" s="2" t="str">
        <f>CLEAN("CTH WG")</f>
        <v>CTH WG</v>
      </c>
      <c r="I1889" s="2" t="str">
        <f>CLEAN("205")</f>
        <v>205</v>
      </c>
    </row>
    <row r="1890" spans="1:9" x14ac:dyDescent="0.35">
      <c r="A1890" s="2" t="str">
        <f t="shared" si="303"/>
        <v>KENOSHA</v>
      </c>
      <c r="B1890" s="2" t="str">
        <f t="shared" si="304"/>
        <v>KENOSHA COUNTY</v>
      </c>
      <c r="C1890" s="2" t="s">
        <v>434</v>
      </c>
      <c r="D1890" s="2" t="str">
        <f>CLEAN("3745-05-70")</f>
        <v>3745-05-70</v>
      </c>
      <c r="E1890" s="3" t="str">
        <f>CLEAN("V BRISTOL  128TH ST")</f>
        <v>V BRISTOL  128TH ST</v>
      </c>
      <c r="F1890" s="3" t="str">
        <f>CLEAN("DUTCH GAP CANAL BRIDGE P30-910")</f>
        <v>DUTCH GAP CANAL BRIDGE P30-910</v>
      </c>
      <c r="G1890" s="3" t="str">
        <f>CLEAN("CONST/BRIDGE REPLACEMENT")</f>
        <v>CONST/BRIDGE REPLACEMENT</v>
      </c>
      <c r="H1890" s="2" t="str">
        <f>CLEAN("CTH WG")</f>
        <v>CTH WG</v>
      </c>
      <c r="I1890" s="2" t="str">
        <f>CLEAN("205")</f>
        <v>205</v>
      </c>
    </row>
    <row r="1891" spans="1:9" x14ac:dyDescent="0.35">
      <c r="A1891" s="2" t="str">
        <f t="shared" si="303"/>
        <v>KENOSHA</v>
      </c>
      <c r="B1891" s="2" t="str">
        <f t="shared" si="304"/>
        <v>KENOSHA COUNTY</v>
      </c>
      <c r="C1891" s="2" t="s">
        <v>2605</v>
      </c>
      <c r="D1891" s="2" t="str">
        <f>CLEAN("3751-03-00")</f>
        <v>3751-03-00</v>
      </c>
      <c r="E1891" s="3" t="str">
        <f>CLEAN("CTH W")</f>
        <v>CTH W</v>
      </c>
      <c r="F1891" s="3" t="str">
        <f>CLEAN("ILL STATE LINE TO CTH C EAST")</f>
        <v>ILL STATE LINE TO CTH C EAST</v>
      </c>
      <c r="G1891" s="3" t="str">
        <f>CLEAN("PE")</f>
        <v>PE</v>
      </c>
      <c r="H1891" s="2" t="str">
        <f>CLEAN("CTH W")</f>
        <v>CTH W</v>
      </c>
      <c r="I1891" s="2" t="str">
        <f>CLEAN("206")</f>
        <v>206</v>
      </c>
    </row>
    <row r="1892" spans="1:9" x14ac:dyDescent="0.35">
      <c r="A1892" s="2" t="str">
        <f t="shared" si="303"/>
        <v>KENOSHA</v>
      </c>
      <c r="B1892" s="2" t="str">
        <f t="shared" si="304"/>
        <v>KENOSHA COUNTY</v>
      </c>
      <c r="C1892" s="2" t="s">
        <v>740</v>
      </c>
      <c r="D1892" s="2" t="str">
        <f>CLEAN("3751-03-70")</f>
        <v>3751-03-70</v>
      </c>
      <c r="E1892" s="3" t="str">
        <f>CLEAN("RANDALL - SALEM LAKES")</f>
        <v>RANDALL - SALEM LAKES</v>
      </c>
      <c r="F1892" s="3" t="str">
        <f>CLEAN("ILL STATE LINE TO CTH C EAST")</f>
        <v>ILL STATE LINE TO CTH C EAST</v>
      </c>
      <c r="G1892" s="3" t="str">
        <f>CLEAN("CONST/RECONDITION")</f>
        <v>CONST/RECONDITION</v>
      </c>
      <c r="H1892" s="2" t="str">
        <f>CLEAN("CTH W")</f>
        <v>CTH W</v>
      </c>
      <c r="I1892" s="2" t="str">
        <f>CLEAN("206")</f>
        <v>206</v>
      </c>
    </row>
    <row r="1893" spans="1:9" x14ac:dyDescent="0.35">
      <c r="A1893" s="2" t="str">
        <f>CLEAN("RACINE")</f>
        <v>RACINE</v>
      </c>
      <c r="B1893" s="2" t="str">
        <f t="shared" si="304"/>
        <v>KENOSHA COUNTY</v>
      </c>
      <c r="C1893" s="2" t="s">
        <v>753</v>
      </c>
      <c r="D1893" s="2" t="str">
        <f>CLEAN("3763-00-74")</f>
        <v>3763-00-74</v>
      </c>
      <c r="E1893" s="3" t="str">
        <f>CLEAN("CTH KR  V MT PLEASANT")</f>
        <v>CTH KR  V MT PLEASANT</v>
      </c>
      <c r="F1893" s="3" t="str">
        <f>CLEAN("CTH H TO OLD GREENBAY ROAD")</f>
        <v>CTH H TO OLD GREENBAY ROAD</v>
      </c>
      <c r="G1893" s="3" t="str">
        <f>CLEAN("CONST/RECONST W/ ADDED CAPACITY")</f>
        <v>CONST/RECONST W/ ADDED CAPACITY</v>
      </c>
      <c r="H1893" s="2" t="str">
        <f>CLEAN("CTH KR")</f>
        <v>CTH KR</v>
      </c>
      <c r="I1893" s="2" t="str">
        <f>CLEAN("303")</f>
        <v>303</v>
      </c>
    </row>
    <row r="1894" spans="1:9" x14ac:dyDescent="0.35">
      <c r="A1894" s="2" t="str">
        <f t="shared" ref="A1894:A1904" si="306">CLEAN("KENOSHA")</f>
        <v>KENOSHA</v>
      </c>
      <c r="B1894" s="2" t="str">
        <f t="shared" si="304"/>
        <v>KENOSHA COUNTY</v>
      </c>
      <c r="C1894" s="2" t="s">
        <v>492</v>
      </c>
      <c r="D1894" s="2" t="str">
        <f>CLEAN("3765-05-70")</f>
        <v>3765-05-70</v>
      </c>
      <c r="E1894" s="3" t="str">
        <f>CLEAN("V SOMERS  7TH ST")</f>
        <v>V SOMERS  7TH ST</v>
      </c>
      <c r="F1894" s="3" t="str">
        <f>CLEAN("PIKE RIVER BRIDGE P30-021")</f>
        <v>PIKE RIVER BRIDGE P30-021</v>
      </c>
      <c r="G1894" s="3" t="str">
        <f>CLEAN("CONST/BRRHB")</f>
        <v>CONST/BRRHB</v>
      </c>
      <c r="H1894" s="2" t="str">
        <f>CLEAN("CTH A")</f>
        <v>CTH A</v>
      </c>
      <c r="I1894" s="2" t="str">
        <f>CLEAN("205")</f>
        <v>205</v>
      </c>
    </row>
    <row r="1895" spans="1:9" x14ac:dyDescent="0.35">
      <c r="A1895" s="2" t="str">
        <f t="shared" si="306"/>
        <v>KENOSHA</v>
      </c>
      <c r="B1895" s="2" t="str">
        <f t="shared" si="304"/>
        <v>KENOSHA COUNTY</v>
      </c>
      <c r="C1895" s="2" t="s">
        <v>372</v>
      </c>
      <c r="D1895" s="2" t="str">
        <f>CLEAN("3766-00-71")</f>
        <v>3766-00-71</v>
      </c>
      <c r="E1895" s="3" t="str">
        <f>CLEAN("CTH E SHARED USE PATH")</f>
        <v>CTH E SHARED USE PATH</v>
      </c>
      <c r="F1895" s="3" t="str">
        <f>CLEAN("20TH STREET TO STH 32")</f>
        <v>20TH STREET TO STH 32</v>
      </c>
      <c r="G1895" s="3" t="str">
        <f>CLEAN("CONST/BIKE/PED PATH")</f>
        <v>CONST/BIKE/PED PATH</v>
      </c>
      <c r="H1895" s="2" t="str">
        <f>CLEAN("NON HWY")</f>
        <v>NON HWY</v>
      </c>
      <c r="I1895" s="2" t="str">
        <f>CLEAN("211")</f>
        <v>211</v>
      </c>
    </row>
    <row r="1896" spans="1:9" x14ac:dyDescent="0.35">
      <c r="A1896" s="2" t="str">
        <f t="shared" si="306"/>
        <v>KENOSHA</v>
      </c>
      <c r="B1896" s="2" t="str">
        <f t="shared" si="304"/>
        <v>KENOSHA COUNTY</v>
      </c>
      <c r="C1896" s="2" t="s">
        <v>1077</v>
      </c>
      <c r="D1896" s="2" t="str">
        <f>CLEAN("3766-02-71")</f>
        <v>3766-02-71</v>
      </c>
      <c r="E1896" s="3" t="str">
        <f>CLEAN("V SOMERS  12TH ST")</f>
        <v>V SOMERS  12TH ST</v>
      </c>
      <c r="F1896" s="3" t="str">
        <f>CLEAN("INTERSECTION WITH 22ND AVE (CTH Y)")</f>
        <v>INTERSECTION WITH 22ND AVE (CTH Y)</v>
      </c>
      <c r="G1896" s="3" t="str">
        <f>CLEAN("CONST/TRAFFIC SIGNALS")</f>
        <v>CONST/TRAFFIC SIGNALS</v>
      </c>
      <c r="H1896" s="2" t="str">
        <f>CLEAN("CTH E")</f>
        <v>CTH E</v>
      </c>
      <c r="I1896" s="2" t="str">
        <f>CLEAN("206")</f>
        <v>206</v>
      </c>
    </row>
    <row r="1897" spans="1:9" x14ac:dyDescent="0.35">
      <c r="A1897" s="2" t="str">
        <f t="shared" si="306"/>
        <v>KENOSHA</v>
      </c>
      <c r="B1897" s="2" t="str">
        <f t="shared" si="304"/>
        <v>KENOSHA COUNTY</v>
      </c>
      <c r="C1897" s="2" t="s">
        <v>3001</v>
      </c>
      <c r="D1897" s="2" t="str">
        <f>CLEAN("3826-00-02")</f>
        <v>3826-00-02</v>
      </c>
      <c r="E1897" s="3" t="str">
        <f>CLEAN("T WHEATLAND  352ND/348TH AVE")</f>
        <v>T WHEATLAND  352ND/348TH AVE</v>
      </c>
      <c r="F1897" s="3" t="str">
        <f>CLEAN("S OF 54TH ST AND N OF 348TH AVE")</f>
        <v>S OF 54TH ST AND N OF 348TH AVE</v>
      </c>
      <c r="G1897" s="3" t="str">
        <f>CLEAN("PE/STATE REVIEW ONLY")</f>
        <v>PE/STATE REVIEW ONLY</v>
      </c>
      <c r="H1897" s="2" t="str">
        <f>CLEAN("CTH KD")</f>
        <v>CTH KD</v>
      </c>
      <c r="I1897" s="2" t="str">
        <f>CLEAN("206")</f>
        <v>206</v>
      </c>
    </row>
    <row r="1898" spans="1:9" x14ac:dyDescent="0.35">
      <c r="A1898" s="2" t="str">
        <f t="shared" si="306"/>
        <v>KENOSHA</v>
      </c>
      <c r="B1898" s="2" t="str">
        <f t="shared" si="304"/>
        <v>KENOSHA COUNTY</v>
      </c>
      <c r="C1898" s="2" t="s">
        <v>3015</v>
      </c>
      <c r="D1898" s="2" t="str">
        <f>CLEAN("3826-00-10")</f>
        <v>3826-00-10</v>
      </c>
      <c r="E1898" s="3" t="str">
        <f>CLEAN("MIDWEST INTERSTATE TRAIL STUDY")</f>
        <v>MIDWEST INTERSTATE TRAIL STUDY</v>
      </c>
      <c r="F1898" s="3" t="str">
        <f>CLEAN("SOUTHWEST KENOSHA CO ALONG CTH W")</f>
        <v>SOUTHWEST KENOSHA CO ALONG CTH W</v>
      </c>
      <c r="G1898" s="3" t="str">
        <f>CLEAN("PE/STUDY")</f>
        <v>PE/STUDY</v>
      </c>
      <c r="H1898" s="2" t="str">
        <f>CLEAN("NON HWY")</f>
        <v>NON HWY</v>
      </c>
      <c r="I1898" s="2" t="str">
        <f>CLEAN("290")</f>
        <v>290</v>
      </c>
    </row>
    <row r="1899" spans="1:9" x14ac:dyDescent="0.35">
      <c r="A1899" s="2" t="str">
        <f t="shared" si="306"/>
        <v>KENOSHA</v>
      </c>
      <c r="B1899" s="2" t="str">
        <f t="shared" si="304"/>
        <v>KENOSHA COUNTY</v>
      </c>
      <c r="C1899" s="2" t="s">
        <v>1054</v>
      </c>
      <c r="D1899" s="2" t="str">
        <f>CLEAN("3826-00-72")</f>
        <v>3826-00-72</v>
      </c>
      <c r="E1899" s="3" t="str">
        <f>CLEAN("T WHEATLAND  352ND/348TH AVE")</f>
        <v>T WHEATLAND  352ND/348TH AVE</v>
      </c>
      <c r="F1899" s="3" t="str">
        <f>CLEAN("S OF 54TH ST AND N OF 348TH AVE")</f>
        <v>S OF 54TH ST AND N OF 348TH AVE</v>
      </c>
      <c r="G1899" s="3" t="str">
        <f>CLEAN("CONST/SPEED SIGNS")</f>
        <v>CONST/SPEED SIGNS</v>
      </c>
      <c r="H1899" s="2" t="str">
        <f>CLEAN("CTH KD")</f>
        <v>CTH KD</v>
      </c>
      <c r="I1899" s="2" t="str">
        <f>CLEAN("206")</f>
        <v>206</v>
      </c>
    </row>
    <row r="1900" spans="1:9" x14ac:dyDescent="0.35">
      <c r="A1900" s="2" t="str">
        <f t="shared" si="306"/>
        <v>KENOSHA</v>
      </c>
      <c r="B1900" s="2" t="str">
        <f>CLEAN("KENOSHA WATER UTILITY")</f>
        <v>KENOSHA WATER UTILITY</v>
      </c>
      <c r="C1900" s="2" t="s">
        <v>44</v>
      </c>
      <c r="D1900" s="2" t="str">
        <f>CLEAN("1310-10-70")</f>
        <v>1310-10-70</v>
      </c>
      <c r="E1900" s="3" t="str">
        <f>CLEAN("75TH ST  C KENOSHA/V PLEASANT PRAIR")</f>
        <v>75TH ST  C KENOSHA/V PLEASANT PRAIR</v>
      </c>
      <c r="F1900" s="3" t="str">
        <f>CLEAN("IH 94 TO 74TH AVE")</f>
        <v>IH 94 TO 74TH AVE</v>
      </c>
      <c r="G1900" s="3" t="str">
        <f>CLEAN("CONST / RECONSTRUCT WITH EXPANSION")</f>
        <v>CONST / RECONSTRUCT WITH EXPANSION</v>
      </c>
      <c r="H1900" s="2" t="str">
        <f>CLEAN("STH 050")</f>
        <v>STH 050</v>
      </c>
      <c r="I1900" s="2" t="str">
        <f>CLEAN("302")</f>
        <v>302</v>
      </c>
    </row>
    <row r="1901" spans="1:9" x14ac:dyDescent="0.35">
      <c r="A1901" s="2" t="str">
        <f t="shared" si="306"/>
        <v>KENOSHA</v>
      </c>
      <c r="B1901" s="2" t="str">
        <f>CLEAN("KENOSHA WATER UTILITY")</f>
        <v>KENOSHA WATER UTILITY</v>
      </c>
      <c r="C1901" s="2" t="s">
        <v>43</v>
      </c>
      <c r="D1901" s="2" t="str">
        <f>CLEAN("1310-10-71")</f>
        <v>1310-10-71</v>
      </c>
      <c r="E1901" s="3" t="str">
        <f>CLEAN("75TH ST  C KENOSHA/V PLEASANT PRAIR")</f>
        <v>75TH ST  C KENOSHA/V PLEASANT PRAIR</v>
      </c>
      <c r="F1901" s="3" t="str">
        <f>CLEAN("74TH AVE TO 43RD AVE")</f>
        <v>74TH AVE TO 43RD AVE</v>
      </c>
      <c r="G1901" s="3" t="str">
        <f>CLEAN("CONST / RECONSTRUCT WITH EXPANSION")</f>
        <v>CONST / RECONSTRUCT WITH EXPANSION</v>
      </c>
      <c r="H1901" s="2" t="str">
        <f>CLEAN("STH 050")</f>
        <v>STH 050</v>
      </c>
      <c r="I1901" s="2" t="str">
        <f>CLEAN("302")</f>
        <v>302</v>
      </c>
    </row>
    <row r="1902" spans="1:9" x14ac:dyDescent="0.35">
      <c r="A1902" s="2" t="str">
        <f t="shared" si="306"/>
        <v>KENOSHA</v>
      </c>
      <c r="B1902" s="2" t="str">
        <f>CLEAN("KENOSHA WATER UTILITY")</f>
        <v>KENOSHA WATER UTILITY</v>
      </c>
      <c r="C1902" s="2" t="s">
        <v>794</v>
      </c>
      <c r="D1902" s="2" t="str">
        <f>CLEAN("3732-09-71")</f>
        <v>3732-09-71</v>
      </c>
      <c r="E1902" s="3" t="str">
        <f>CLEAN("CTH K")</f>
        <v>CTH K</v>
      </c>
      <c r="F1902" s="3" t="str">
        <f>CLEAN("UPRR TO 94TH CT")</f>
        <v>UPRR TO 94TH CT</v>
      </c>
      <c r="G1902" s="3" t="str">
        <f>CLEAN("CONST/RECONSTRUCT NO ADDL LANES")</f>
        <v>CONST/RECONSTRUCT NO ADDL LANES</v>
      </c>
      <c r="H1902" s="2" t="str">
        <f>CLEAN("CTH K")</f>
        <v>CTH K</v>
      </c>
      <c r="I1902" s="2" t="str">
        <f>CLEAN("206")</f>
        <v>206</v>
      </c>
    </row>
    <row r="1903" spans="1:9" x14ac:dyDescent="0.35">
      <c r="A1903" s="2" t="str">
        <f t="shared" si="306"/>
        <v>KENOSHA</v>
      </c>
      <c r="B1903" s="2" t="str">
        <f>CLEAN("KENOSHA WATER UTILITY")</f>
        <v>KENOSHA WATER UTILITY</v>
      </c>
      <c r="C1903" s="2" t="s">
        <v>1106</v>
      </c>
      <c r="D1903" s="2" t="str">
        <f>CLEAN("3831-07-81")</f>
        <v>3831-07-81</v>
      </c>
      <c r="E1903" s="3" t="str">
        <f>CLEAN("C KENOSHA WASHINGTON ROAD")</f>
        <v>C KENOSHA WASHINGTON ROAD</v>
      </c>
      <c r="F1903" s="3" t="str">
        <f>CLEAN("INTERSECTION WITH 30TH AVE")</f>
        <v>INTERSECTION WITH 30TH AVE</v>
      </c>
      <c r="G1903" s="3" t="str">
        <f>CLEAN("CONST/WATERMAIN")</f>
        <v>CONST/WATERMAIN</v>
      </c>
      <c r="H1903" s="2" t="str">
        <f>CLEAN("LOC STR")</f>
        <v>LOC STR</v>
      </c>
      <c r="I1903" s="2" t="str">
        <f>CLEAN("206")</f>
        <v>206</v>
      </c>
    </row>
    <row r="1904" spans="1:9" x14ac:dyDescent="0.35">
      <c r="A1904" s="2" t="str">
        <f t="shared" si="306"/>
        <v>KENOSHA</v>
      </c>
      <c r="B1904" s="2" t="str">
        <f>CLEAN("KENOSHA WATER UTILITY")</f>
        <v>KENOSHA WATER UTILITY</v>
      </c>
      <c r="C1904" s="2" t="s">
        <v>1103</v>
      </c>
      <c r="D1904" s="2" t="str">
        <f>CLEAN("3831-07-82")</f>
        <v>3831-07-82</v>
      </c>
      <c r="E1904" s="3" t="str">
        <f>CLEAN("C KENOSHA  WASHINGTON ROAD")</f>
        <v>C KENOSHA  WASHINGTON ROAD</v>
      </c>
      <c r="F1904" s="3" t="str">
        <f>CLEAN("INTERSECTION WITH 39TH AVE")</f>
        <v>INTERSECTION WITH 39TH AVE</v>
      </c>
      <c r="G1904" s="3" t="str">
        <f>CLEAN("CONST/WATER UTILITY CCO 3831-07-72")</f>
        <v>CONST/WATER UTILITY CCO 3831-07-72</v>
      </c>
      <c r="H1904" s="2" t="str">
        <f>CLEAN("LOC STR")</f>
        <v>LOC STR</v>
      </c>
      <c r="I1904" s="2" t="str">
        <f>CLEAN("206")</f>
        <v>206</v>
      </c>
    </row>
    <row r="1905" spans="1:9" x14ac:dyDescent="0.35">
      <c r="A1905" s="2" t="str">
        <f>CLEAN("KEWAUNEE")</f>
        <v>KEWAUNEE</v>
      </c>
      <c r="B1905" s="2" t="str">
        <f>CLEAN("KEWAUNEE COUNTY")</f>
        <v>KEWAUNEE COUNTY</v>
      </c>
      <c r="C1905" s="2" t="s">
        <v>1891</v>
      </c>
      <c r="D1905" s="2" t="str">
        <f>CLEAN("4386-00-00")</f>
        <v>4386-00-00</v>
      </c>
      <c r="E1905" s="3" t="str">
        <f>CLEAN("KEWAUNEE CO  CTH KB")</f>
        <v>KEWAUNEE CO  CTH KB</v>
      </c>
      <c r="F1905" s="3" t="str">
        <f>CLEAN("BLACK CREEK BRIDGE")</f>
        <v>BLACK CREEK BRIDGE</v>
      </c>
      <c r="G1905" s="3" t="str">
        <f>CLEAN("DESIGN/FULL PSE/BRRPL/B-31-0893")</f>
        <v>DESIGN/FULL PSE/BRRPL/B-31-0893</v>
      </c>
      <c r="H1905" s="2" t="str">
        <f>CLEAN("CTH KB")</f>
        <v>CTH KB</v>
      </c>
      <c r="I1905" s="2" t="str">
        <f>CLEAN("205")</f>
        <v>205</v>
      </c>
    </row>
    <row r="1906" spans="1:9" x14ac:dyDescent="0.35">
      <c r="A1906" s="2" t="str">
        <f>CLEAN("KEWAUNEE")</f>
        <v>KEWAUNEE</v>
      </c>
      <c r="B1906" s="2" t="str">
        <f>CLEAN("KEWAUNEE COUNTY")</f>
        <v>KEWAUNEE COUNTY</v>
      </c>
      <c r="C1906" s="2" t="s">
        <v>518</v>
      </c>
      <c r="D1906" s="2" t="str">
        <f>CLEAN("4386-00-01")</f>
        <v>4386-00-01</v>
      </c>
      <c r="E1906" s="3" t="str">
        <f>CLEAN("KEWAUNEE CO  CTH KB")</f>
        <v>KEWAUNEE CO  CTH KB</v>
      </c>
      <c r="F1906" s="3" t="str">
        <f>CLEAN("BLACK CREEK BRIDGE")</f>
        <v>BLACK CREEK BRIDGE</v>
      </c>
      <c r="G1906" s="3" t="str">
        <f>CLEAN("CONST/BRRPL/B-31-0113")</f>
        <v>CONST/BRRPL/B-31-0113</v>
      </c>
      <c r="H1906" s="2" t="str">
        <f>CLEAN("CTH KB")</f>
        <v>CTH KB</v>
      </c>
      <c r="I1906" s="2" t="str">
        <f>CLEAN("205")</f>
        <v>205</v>
      </c>
    </row>
    <row r="1907" spans="1:9" x14ac:dyDescent="0.35">
      <c r="A1907" s="2" t="str">
        <f>CLEAN("KEWAUNEE")</f>
        <v>KEWAUNEE</v>
      </c>
      <c r="B1907" s="2" t="str">
        <f>CLEAN("KEWAUNEE COUNTY")</f>
        <v>KEWAUNEE COUNTY</v>
      </c>
      <c r="C1907" s="2" t="s">
        <v>1929</v>
      </c>
      <c r="D1907" s="2" t="str">
        <f>CLEAN("4390-01-73")</f>
        <v>4390-01-73</v>
      </c>
      <c r="E1907" s="3" t="str">
        <f>CLEAN("KEWAUNEE CO  CTH C")</f>
        <v>KEWAUNEE CO  CTH C</v>
      </c>
      <c r="F1907" s="3" t="str">
        <f>CLEAN("CTH L TO CLYDE HILL ROAD")</f>
        <v>CTH L TO CLYDE HILL ROAD</v>
      </c>
      <c r="G1907" s="3" t="str">
        <f>CLEAN("DESIGN/FULL PSE/RCND10")</f>
        <v>DESIGN/FULL PSE/RCND10</v>
      </c>
      <c r="H1907" s="2" t="str">
        <f>CLEAN("CTH C")</f>
        <v>CTH C</v>
      </c>
      <c r="I1907" s="2" t="str">
        <f>CLEAN("206")</f>
        <v>206</v>
      </c>
    </row>
    <row r="1908" spans="1:9" x14ac:dyDescent="0.35">
      <c r="A1908" s="2" t="str">
        <f>CLEAN("KEWAUNEE")</f>
        <v>KEWAUNEE</v>
      </c>
      <c r="B1908" s="2" t="str">
        <f>CLEAN("KEWAUNEE COUNTY")</f>
        <v>KEWAUNEE COUNTY</v>
      </c>
      <c r="C1908" s="2" t="s">
        <v>734</v>
      </c>
      <c r="D1908" s="2" t="str">
        <f>CLEAN("4390-01-74")</f>
        <v>4390-01-74</v>
      </c>
      <c r="E1908" s="3" t="str">
        <f>CLEAN("KEWAUNEE CO  CTH C")</f>
        <v>KEWAUNEE CO  CTH C</v>
      </c>
      <c r="F1908" s="3" t="str">
        <f>CLEAN("CTH L TO CLYDE HILL ROAD")</f>
        <v>CTH L TO CLYDE HILL ROAD</v>
      </c>
      <c r="G1908" s="3" t="str">
        <f>CLEAN("CONST/RCND10")</f>
        <v>CONST/RCND10</v>
      </c>
      <c r="H1908" s="2" t="str">
        <f>CLEAN("CTH C")</f>
        <v>CTH C</v>
      </c>
      <c r="I1908" s="2" t="str">
        <f>CLEAN("206")</f>
        <v>206</v>
      </c>
    </row>
    <row r="1909" spans="1:9" x14ac:dyDescent="0.35">
      <c r="A1909" s="2" t="str">
        <f>CLEAN("KEWAUNEE")</f>
        <v>KEWAUNEE</v>
      </c>
      <c r="B1909" s="2" t="str">
        <f>CLEAN("KEWAUNEE COUNTY")</f>
        <v>KEWAUNEE COUNTY</v>
      </c>
      <c r="C1909" s="2" t="s">
        <v>2392</v>
      </c>
      <c r="D1909" s="2" t="str">
        <f>CLEAN("4391-01-00")</f>
        <v>4391-01-00</v>
      </c>
      <c r="E1909" s="3" t="str">
        <f>CLEAN("V CASCO  CTH C")</f>
        <v>V CASCO  CTH C</v>
      </c>
      <c r="F1909" s="3" t="str">
        <f>CLEAN("STH 54 - CTH S")</f>
        <v>STH 54 - CTH S</v>
      </c>
      <c r="G1909" s="3" t="str">
        <f>CLEAN("DSGN/FULL PSE/MISC")</f>
        <v>DSGN/FULL PSE/MISC</v>
      </c>
      <c r="H1909" s="2" t="str">
        <f>CLEAN("CTH C")</f>
        <v>CTH C</v>
      </c>
      <c r="I1909" s="2" t="str">
        <f>CLEAN("206")</f>
        <v>206</v>
      </c>
    </row>
    <row r="1910" spans="1:9" x14ac:dyDescent="0.35">
      <c r="A1910" s="2" t="str">
        <f t="shared" ref="A1910:A1949" si="307">CLEAN("LA CROSSE")</f>
        <v>LA CROSSE</v>
      </c>
      <c r="B1910" s="2" t="str">
        <f t="shared" ref="B1910:B1949" si="308">CLEAN("LA CROSSE COUNTY")</f>
        <v>LA CROSSE COUNTY</v>
      </c>
      <c r="C1910" s="2" t="s">
        <v>2140</v>
      </c>
      <c r="D1910" s="2" t="str">
        <f>CLEAN("5991-02-05")</f>
        <v>5991-02-05</v>
      </c>
      <c r="E1910" s="3" t="str">
        <f>CLEAN("TOWN OF ONALASKA  CTH ZM")</f>
        <v>TOWN OF ONALASKA  CTH ZM</v>
      </c>
      <c r="F1910" s="3" t="str">
        <f>CLEAN("CTH Z TO CTH OT")</f>
        <v>CTH Z TO CTH OT</v>
      </c>
      <c r="G1910" s="3" t="str">
        <f>CLEAN("DESIGN/PLAN CHECK REVIEW/PVRPLA")</f>
        <v>DESIGN/PLAN CHECK REVIEW/PVRPLA</v>
      </c>
      <c r="H1910" s="2" t="str">
        <f>CLEAN("CTH ZM")</f>
        <v>CTH ZM</v>
      </c>
      <c r="I1910" s="2" t="str">
        <f>CLEAN("206")</f>
        <v>206</v>
      </c>
    </row>
    <row r="1911" spans="1:9" x14ac:dyDescent="0.35">
      <c r="A1911" s="2" t="str">
        <f t="shared" si="307"/>
        <v>LA CROSSE</v>
      </c>
      <c r="B1911" s="2" t="str">
        <f t="shared" si="308"/>
        <v>LA CROSSE COUNTY</v>
      </c>
      <c r="C1911" s="2" t="s">
        <v>2902</v>
      </c>
      <c r="D1911" s="2" t="str">
        <f>CLEAN("5991-08-04")</f>
        <v>5991-08-04</v>
      </c>
      <c r="E1911" s="3" t="str">
        <f>CLEAN("LA CROSSE RIVER BICYCLE/PED BRIDGE")</f>
        <v>LA CROSSE RIVER BICYCLE/PED BRIDGE</v>
      </c>
      <c r="F1911" s="3" t="str">
        <f>CLEAN("CTH VP IN VETERAN'S PARK")</f>
        <v>CTH VP IN VETERAN'S PARK</v>
      </c>
      <c r="G1911" s="3" t="str">
        <f>CLEAN("PE/LOCAL LET")</f>
        <v>PE/LOCAL LET</v>
      </c>
      <c r="H1911" s="2" t="str">
        <f>CLEAN("NON HWY")</f>
        <v>NON HWY</v>
      </c>
      <c r="I1911" s="2" t="str">
        <f>CLEAN("290")</f>
        <v>290</v>
      </c>
    </row>
    <row r="1912" spans="1:9" x14ac:dyDescent="0.35">
      <c r="A1912" s="2" t="str">
        <f t="shared" si="307"/>
        <v>LA CROSSE</v>
      </c>
      <c r="B1912" s="2" t="str">
        <f t="shared" si="308"/>
        <v>LA CROSSE COUNTY</v>
      </c>
      <c r="C1912" s="2" t="s">
        <v>2124</v>
      </c>
      <c r="D1912" s="2" t="str">
        <f>CLEAN("5991-08-10")</f>
        <v>5991-08-10</v>
      </c>
      <c r="E1912" s="3" t="str">
        <f>CLEAN("STH 35 - CTH SN (CTH OT)")</f>
        <v>STH 35 - CTH SN (CTH OT)</v>
      </c>
      <c r="F1912" s="3" t="str">
        <f>CLEAN("STH 35 TO CTH SN")</f>
        <v>STH 35 TO CTH SN</v>
      </c>
      <c r="G1912" s="3" t="str">
        <f>CLEAN("DESIGN/PLAN CHECK REVIEW/PVPLA")</f>
        <v>DESIGN/PLAN CHECK REVIEW/PVPLA</v>
      </c>
      <c r="H1912" s="2" t="str">
        <f>CLEAN("CTH OT")</f>
        <v>CTH OT</v>
      </c>
      <c r="I1912" s="2" t="str">
        <f>CLEAN("206")</f>
        <v>206</v>
      </c>
    </row>
    <row r="1913" spans="1:9" x14ac:dyDescent="0.35">
      <c r="A1913" s="2" t="str">
        <f t="shared" si="307"/>
        <v>LA CROSSE</v>
      </c>
      <c r="B1913" s="2" t="str">
        <f t="shared" si="308"/>
        <v>LA CROSSE COUNTY</v>
      </c>
      <c r="C1913" s="2" t="s">
        <v>196</v>
      </c>
      <c r="D1913" s="2" t="str">
        <f>CLEAN("5991-08-11")</f>
        <v>5991-08-11</v>
      </c>
      <c r="E1913" s="3" t="str">
        <f>CLEAN("STH 35 - CTH SN (CTH OT)")</f>
        <v>STH 35 - CTH SN (CTH OT)</v>
      </c>
      <c r="F1913" s="3" t="str">
        <f>CLEAN("STH 35 TO CTH SN")</f>
        <v>STH 35 TO CTH SN</v>
      </c>
      <c r="G1913" s="3" t="str">
        <f>CLEAN("CONST OPS/PAVEMENT REPLACEMENT")</f>
        <v>CONST OPS/PAVEMENT REPLACEMENT</v>
      </c>
      <c r="H1913" s="2" t="str">
        <f>CLEAN("CTH OT")</f>
        <v>CTH OT</v>
      </c>
      <c r="I1913" s="2" t="str">
        <f>CLEAN("206")</f>
        <v>206</v>
      </c>
    </row>
    <row r="1914" spans="1:9" x14ac:dyDescent="0.35">
      <c r="A1914" s="2" t="str">
        <f t="shared" si="307"/>
        <v>LA CROSSE</v>
      </c>
      <c r="B1914" s="2" t="str">
        <f t="shared" si="308"/>
        <v>LA CROSSE COUNTY</v>
      </c>
      <c r="C1914" s="2" t="s">
        <v>2134</v>
      </c>
      <c r="D1914" s="2" t="str">
        <f>CLEAN("5991-08-12")</f>
        <v>5991-08-12</v>
      </c>
      <c r="E1914" s="3" t="str">
        <f>CLEAN("V HOLMEN  CTH MH")</f>
        <v>V HOLMEN  CTH MH</v>
      </c>
      <c r="F1914" s="3" t="str">
        <f>CLEAN("BRIGGS ROAD TO CTH HD")</f>
        <v>BRIGGS ROAD TO CTH HD</v>
      </c>
      <c r="G1914" s="3" t="str">
        <f>CLEAN("DESIGN/PLAN CHECK REVIEW/PVRPLA")</f>
        <v>DESIGN/PLAN CHECK REVIEW/PVRPLA</v>
      </c>
      <c r="H1914" s="2" t="str">
        <f>CLEAN("CTH MH")</f>
        <v>CTH MH</v>
      </c>
      <c r="I1914" s="2" t="str">
        <f>CLEAN("206")</f>
        <v>206</v>
      </c>
    </row>
    <row r="1915" spans="1:9" x14ac:dyDescent="0.35">
      <c r="A1915" s="2" t="str">
        <f t="shared" si="307"/>
        <v>LA CROSSE</v>
      </c>
      <c r="B1915" s="2" t="str">
        <f t="shared" si="308"/>
        <v>LA CROSSE COUNTY</v>
      </c>
      <c r="C1915" s="2" t="s">
        <v>1621</v>
      </c>
      <c r="D1915" s="2" t="str">
        <f>CLEAN("7076-01-02")</f>
        <v>7076-01-02</v>
      </c>
      <c r="E1915" s="3" t="str">
        <f>CLEAN("BANGOR -ROCKLAND")</f>
        <v>BANGOR -ROCKLAND</v>
      </c>
      <c r="F1915" s="3" t="str">
        <f>CLEAN("CURVE 0.3 MI W OF ROCKLAND V LIMIT")</f>
        <v>CURVE 0.3 MI W OF ROCKLAND V LIMIT</v>
      </c>
      <c r="G1915" s="3" t="str">
        <f>CLEAN("DESIGN - FULL PS&amp;E/CURVE RECST")</f>
        <v>DESIGN - FULL PS&amp;E/CURVE RECST</v>
      </c>
      <c r="H1915" s="2" t="str">
        <f>CLEAN("CTH U")</f>
        <v>CTH U</v>
      </c>
      <c r="I1915" s="2" t="str">
        <f>CLEAN("206")</f>
        <v>206</v>
      </c>
    </row>
    <row r="1916" spans="1:9" x14ac:dyDescent="0.35">
      <c r="A1916" s="2" t="str">
        <f t="shared" si="307"/>
        <v>LA CROSSE</v>
      </c>
      <c r="B1916" s="2" t="str">
        <f t="shared" si="308"/>
        <v>LA CROSSE COUNTY</v>
      </c>
      <c r="C1916" s="2" t="s">
        <v>2593</v>
      </c>
      <c r="D1916" s="2" t="str">
        <f>CLEAN("1009-01-25")</f>
        <v>1009-01-25</v>
      </c>
      <c r="E1916" s="3" t="str">
        <f>CLEAN("La Crosse Co SRTS Yr 1 of 2")</f>
        <v>La Crosse Co SRTS Yr 1 of 2</v>
      </c>
      <c r="F1916" s="3" t="str">
        <f>CLEAN("COUNTY-WIDE SAFE ROUTES TO SCHOOL")</f>
        <v>COUNTY-WIDE SAFE ROUTES TO SCHOOL</v>
      </c>
      <c r="G1916" s="3" t="str">
        <f>CLEAN("NON-INF SAFE ROUTES TO SCHOOL")</f>
        <v>NON-INF SAFE ROUTES TO SCHOOL</v>
      </c>
      <c r="H1916" s="2" t="str">
        <f>CLEAN("NON HWY")</f>
        <v>NON HWY</v>
      </c>
      <c r="I1916" s="2" t="str">
        <f>CLEAN("290")</f>
        <v>290</v>
      </c>
    </row>
    <row r="1917" spans="1:9" x14ac:dyDescent="0.35">
      <c r="A1917" s="2" t="str">
        <f t="shared" si="307"/>
        <v>LA CROSSE</v>
      </c>
      <c r="B1917" s="2" t="str">
        <f t="shared" si="308"/>
        <v>LA CROSSE COUNTY</v>
      </c>
      <c r="C1917" s="2" t="s">
        <v>2595</v>
      </c>
      <c r="D1917" s="2" t="str">
        <f>CLEAN("1009-01-26")</f>
        <v>1009-01-26</v>
      </c>
      <c r="E1917" s="3" t="str">
        <f>CLEAN("La Crosse Co SRTS Yr 2 of 2")</f>
        <v>La Crosse Co SRTS Yr 2 of 2</v>
      </c>
      <c r="F1917" s="3" t="str">
        <f>CLEAN("REGION-WIDE SAFE ROUTES TO SCHOOL")</f>
        <v>REGION-WIDE SAFE ROUTES TO SCHOOL</v>
      </c>
      <c r="G1917" s="3" t="str">
        <f>CLEAN("NON-INF SAFE ROUTES TO SCHOOL")</f>
        <v>NON-INF SAFE ROUTES TO SCHOOL</v>
      </c>
      <c r="H1917" s="2" t="str">
        <f>CLEAN("NON HWY")</f>
        <v>NON HWY</v>
      </c>
      <c r="I1917" s="2" t="str">
        <f>CLEAN("290")</f>
        <v>290</v>
      </c>
    </row>
    <row r="1918" spans="1:9" x14ac:dyDescent="0.35">
      <c r="A1918" s="2" t="str">
        <f t="shared" si="307"/>
        <v>LA CROSSE</v>
      </c>
      <c r="B1918" s="2" t="str">
        <f t="shared" si="308"/>
        <v>LA CROSSE COUNTY</v>
      </c>
      <c r="C1918" s="2" t="s">
        <v>2145</v>
      </c>
      <c r="D1918" s="2" t="str">
        <f>CLEAN("5069-00-00")</f>
        <v>5069-00-00</v>
      </c>
      <c r="E1918" s="3" t="str">
        <f>CLEAN("IH 90 - CTH J (CTH B)")</f>
        <v>IH 90 - CTH J (CTH B)</v>
      </c>
      <c r="F1918" s="3" t="str">
        <f>CLEAN("IH 90 TO CTH J")</f>
        <v>IH 90 TO CTH J</v>
      </c>
      <c r="G1918" s="3" t="str">
        <f>CLEAN("DESIGN/PLAN CHECK REVIEW/PVRPLA")</f>
        <v>DESIGN/PLAN CHECK REVIEW/PVRPLA</v>
      </c>
      <c r="H1918" s="2" t="str">
        <f>CLEAN("CTH B")</f>
        <v>CTH B</v>
      </c>
      <c r="I1918" s="2" t="str">
        <f>CLEAN("206")</f>
        <v>206</v>
      </c>
    </row>
    <row r="1919" spans="1:9" x14ac:dyDescent="0.35">
      <c r="A1919" s="2" t="str">
        <f t="shared" si="307"/>
        <v>LA CROSSE</v>
      </c>
      <c r="B1919" s="2" t="str">
        <f t="shared" si="308"/>
        <v>LA CROSSE COUNTY</v>
      </c>
      <c r="C1919" s="2" t="s">
        <v>2144</v>
      </c>
      <c r="D1919" s="2" t="str">
        <f>CLEAN("5069-00-70")</f>
        <v>5069-00-70</v>
      </c>
      <c r="E1919" s="3" t="str">
        <f>CLEAN("IH 90 - CTH J (CTH B)")</f>
        <v>IH 90 - CTH J (CTH B)</v>
      </c>
      <c r="F1919" s="3" t="str">
        <f>CLEAN("IH 90 TO CTH J")</f>
        <v>IH 90 TO CTH J</v>
      </c>
      <c r="G1919" s="3" t="str">
        <f>CLEAN("DESIGN/PLAN CHECK REVIEW/PVRPLA")</f>
        <v>DESIGN/PLAN CHECK REVIEW/PVRPLA</v>
      </c>
      <c r="H1919" s="2" t="str">
        <f>CLEAN("CTH B")</f>
        <v>CTH B</v>
      </c>
      <c r="I1919" s="2" t="str">
        <f>CLEAN("206")</f>
        <v>206</v>
      </c>
    </row>
    <row r="1920" spans="1:9" x14ac:dyDescent="0.35">
      <c r="A1920" s="2" t="str">
        <f t="shared" si="307"/>
        <v>LA CROSSE</v>
      </c>
      <c r="B1920" s="2" t="str">
        <f t="shared" si="308"/>
        <v>LA CROSSE COUNTY</v>
      </c>
      <c r="C1920" s="2" t="s">
        <v>1489</v>
      </c>
      <c r="D1920" s="2" t="str">
        <f>CLEAN("5078-00-30")</f>
        <v>5078-00-30</v>
      </c>
      <c r="E1920" s="3" t="str">
        <f>CLEAN("CTH F - CTH OA")</f>
        <v>CTH F - CTH OA</v>
      </c>
      <c r="F1920" s="3" t="str">
        <f>CLEAN("CTH F TO CTH OA")</f>
        <v>CTH F TO CTH OA</v>
      </c>
      <c r="G1920" s="3" t="str">
        <f>CLEAN("DESIGN - FULL PS&amp;E MISC")</f>
        <v>DESIGN - FULL PS&amp;E MISC</v>
      </c>
      <c r="H1920" s="2" t="str">
        <f>CLEAN("CTH FO")</f>
        <v>CTH FO</v>
      </c>
      <c r="I1920" s="2" t="str">
        <f>CLEAN("206")</f>
        <v>206</v>
      </c>
    </row>
    <row r="1921" spans="1:9" x14ac:dyDescent="0.35">
      <c r="A1921" s="2" t="str">
        <f t="shared" si="307"/>
        <v>LA CROSSE</v>
      </c>
      <c r="B1921" s="2" t="str">
        <f t="shared" si="308"/>
        <v>LA CROSSE COUNTY</v>
      </c>
      <c r="C1921" s="2" t="s">
        <v>1109</v>
      </c>
      <c r="D1921" s="2" t="str">
        <f>CLEAN("5078-00-60")</f>
        <v>5078-00-60</v>
      </c>
      <c r="E1921" s="3" t="str">
        <f>CLEAN("CTH F - CTH OA")</f>
        <v>CTH F - CTH OA</v>
      </c>
      <c r="F1921" s="3" t="str">
        <f>CLEAN("CTH F TO CTH OA")</f>
        <v>CTH F TO CTH OA</v>
      </c>
      <c r="G1921" s="3" t="str">
        <f>CLEAN("CONST/WIDER PAVED SHOULDERS/MISC")</f>
        <v>CONST/WIDER PAVED SHOULDERS/MISC</v>
      </c>
      <c r="H1921" s="2" t="str">
        <f>CLEAN("CTH FO")</f>
        <v>CTH FO</v>
      </c>
      <c r="I1921" s="2" t="str">
        <f>CLEAN("206")</f>
        <v>206</v>
      </c>
    </row>
    <row r="1922" spans="1:9" x14ac:dyDescent="0.35">
      <c r="A1922" s="2" t="str">
        <f t="shared" si="307"/>
        <v>LA CROSSE</v>
      </c>
      <c r="B1922" s="2" t="str">
        <f t="shared" si="308"/>
        <v>LA CROSSE COUNTY</v>
      </c>
      <c r="C1922" s="2" t="s">
        <v>2103</v>
      </c>
      <c r="D1922" s="2" t="str">
        <f>CLEAN("5079-00-00")</f>
        <v>5079-00-00</v>
      </c>
      <c r="E1922" s="3" t="str">
        <f>CLEAN("CTH P - CTH H")</f>
        <v>CTH P - CTH H</v>
      </c>
      <c r="F1922" s="3" t="str">
        <f>CLEAN("COON CREEK BRIDGE  B-32-0050")</f>
        <v>COON CREEK BRIDGE  B-32-0050</v>
      </c>
      <c r="G1922" s="3" t="str">
        <f>CLEAN("DESIGN/PLAN CHECK REVIEW/BRRPL")</f>
        <v>DESIGN/PLAN CHECK REVIEW/BRRPL</v>
      </c>
      <c r="H1922" s="2" t="str">
        <f>CLEAN("CTH G")</f>
        <v>CTH G</v>
      </c>
      <c r="I1922" s="2" t="str">
        <f t="shared" ref="I1922:I1927" si="309">CLEAN("205")</f>
        <v>205</v>
      </c>
    </row>
    <row r="1923" spans="1:9" x14ac:dyDescent="0.35">
      <c r="A1923" s="2" t="str">
        <f t="shared" si="307"/>
        <v>LA CROSSE</v>
      </c>
      <c r="B1923" s="2" t="str">
        <f t="shared" si="308"/>
        <v>LA CROSSE COUNTY</v>
      </c>
      <c r="C1923" s="2" t="s">
        <v>2191</v>
      </c>
      <c r="D1923" s="2" t="str">
        <f>CLEAN("5087-00-00")</f>
        <v>5087-00-00</v>
      </c>
      <c r="E1923" s="3" t="str">
        <f>CLEAN("CTH Y - CTH B")</f>
        <v>CTH Y - CTH B</v>
      </c>
      <c r="F1923" s="3" t="str">
        <f>CLEAN("FISH CREEK BRIDGE P-32-0067")</f>
        <v>FISH CREEK BRIDGE P-32-0067</v>
      </c>
      <c r="G1923" s="3" t="str">
        <f>CLEAN("DESIGN/PLAN CHECK REVIEW/RECST")</f>
        <v>DESIGN/PLAN CHECK REVIEW/RECST</v>
      </c>
      <c r="H1923" s="2" t="str">
        <f>CLEAN("CTH J")</f>
        <v>CTH J</v>
      </c>
      <c r="I1923" s="2" t="str">
        <f t="shared" si="309"/>
        <v>205</v>
      </c>
    </row>
    <row r="1924" spans="1:9" x14ac:dyDescent="0.35">
      <c r="A1924" s="2" t="str">
        <f t="shared" si="307"/>
        <v>LA CROSSE</v>
      </c>
      <c r="B1924" s="2" t="str">
        <f t="shared" si="308"/>
        <v>LA CROSSE COUNTY</v>
      </c>
      <c r="C1924" s="2" t="s">
        <v>97</v>
      </c>
      <c r="D1924" s="2" t="str">
        <f>CLEAN("5087-00-70")</f>
        <v>5087-00-70</v>
      </c>
      <c r="E1924" s="3" t="str">
        <f>CLEAN("CTH Y - CTH B")</f>
        <v>CTH Y - CTH B</v>
      </c>
      <c r="F1924" s="3" t="str">
        <f>CLEAN("FISH CREEK BRIDGE B-32-0235")</f>
        <v>FISH CREEK BRIDGE B-32-0235</v>
      </c>
      <c r="G1924" s="3" t="str">
        <f>CLEAN("CONST OPS/BRIDGE REPLACEMENT")</f>
        <v>CONST OPS/BRIDGE REPLACEMENT</v>
      </c>
      <c r="H1924" s="2" t="str">
        <f>CLEAN("CTH J")</f>
        <v>CTH J</v>
      </c>
      <c r="I1924" s="2" t="str">
        <f t="shared" si="309"/>
        <v>205</v>
      </c>
    </row>
    <row r="1925" spans="1:9" x14ac:dyDescent="0.35">
      <c r="A1925" s="2" t="str">
        <f t="shared" si="307"/>
        <v>LA CROSSE</v>
      </c>
      <c r="B1925" s="2" t="str">
        <f t="shared" si="308"/>
        <v>LA CROSSE COUNTY</v>
      </c>
      <c r="C1925" s="2" t="s">
        <v>2100</v>
      </c>
      <c r="D1925" s="2" t="str">
        <f>CLEAN("5096-00-00")</f>
        <v>5096-00-00</v>
      </c>
      <c r="E1925" s="3" t="str">
        <f>CLEAN("CTH OA - CTH M (CTH O)")</f>
        <v>CTH OA - CTH M (CTH O)</v>
      </c>
      <c r="F1925" s="3" t="str">
        <f>CLEAN("BOSTWICK CREEK BRIDGE B-32-0020")</f>
        <v>BOSTWICK CREEK BRIDGE B-32-0020</v>
      </c>
      <c r="G1925" s="3" t="str">
        <f>CLEAN("DESIGN/PLAN CHECK REVIEW/BRRPL")</f>
        <v>DESIGN/PLAN CHECK REVIEW/BRRPL</v>
      </c>
      <c r="H1925" s="2" t="str">
        <f>CLEAN("CTH O")</f>
        <v>CTH O</v>
      </c>
      <c r="I1925" s="2" t="str">
        <f t="shared" si="309"/>
        <v>205</v>
      </c>
    </row>
    <row r="1926" spans="1:9" x14ac:dyDescent="0.35">
      <c r="A1926" s="2" t="str">
        <f t="shared" si="307"/>
        <v>LA CROSSE</v>
      </c>
      <c r="B1926" s="2" t="str">
        <f t="shared" si="308"/>
        <v>LA CROSSE COUNTY</v>
      </c>
      <c r="C1926" s="2" t="s">
        <v>2101</v>
      </c>
      <c r="D1926" s="2" t="str">
        <f>CLEAN("5346-00-01")</f>
        <v>5346-00-01</v>
      </c>
      <c r="E1926" s="3" t="str">
        <f>CLEAN("TOWN OF BARRE  DROGSETH ROAD")</f>
        <v>TOWN OF BARRE  DROGSETH ROAD</v>
      </c>
      <c r="F1926" s="3" t="str">
        <f>CLEAN("BOSTWICK CREEK BRIDGE P-32-0903")</f>
        <v>BOSTWICK CREEK BRIDGE P-32-0903</v>
      </c>
      <c r="G1926" s="3" t="str">
        <f>CLEAN("DESIGN/PLAN CHECK REVIEW/BRRPL")</f>
        <v>DESIGN/PLAN CHECK REVIEW/BRRPL</v>
      </c>
      <c r="H1926" s="2" t="str">
        <f>CLEAN("LOC STR")</f>
        <v>LOC STR</v>
      </c>
      <c r="I1926" s="2" t="str">
        <f t="shared" si="309"/>
        <v>205</v>
      </c>
    </row>
    <row r="1927" spans="1:9" x14ac:dyDescent="0.35">
      <c r="A1927" s="2" t="str">
        <f t="shared" si="307"/>
        <v>LA CROSSE</v>
      </c>
      <c r="B1927" s="2" t="str">
        <f t="shared" si="308"/>
        <v>LA CROSSE COUNTY</v>
      </c>
      <c r="C1927" s="2" t="s">
        <v>66</v>
      </c>
      <c r="D1927" s="2" t="str">
        <f>CLEAN("5346-00-71")</f>
        <v>5346-00-71</v>
      </c>
      <c r="E1927" s="3" t="str">
        <f>CLEAN("TOWN OF BARRE  DROGSETH ROAD")</f>
        <v>TOWN OF BARRE  DROGSETH ROAD</v>
      </c>
      <c r="F1927" s="3" t="str">
        <f>CLEAN("BOSTWICK CREEK BRIDGE B-32-0231")</f>
        <v>BOSTWICK CREEK BRIDGE B-32-0231</v>
      </c>
      <c r="G1927" s="3" t="str">
        <f>CLEAN("CONST OPS/BRIDGE REPLACEMENT")</f>
        <v>CONST OPS/BRIDGE REPLACEMENT</v>
      </c>
      <c r="H1927" s="2" t="str">
        <f>CLEAN("LOC STR")</f>
        <v>LOC STR</v>
      </c>
      <c r="I1927" s="2" t="str">
        <f t="shared" si="309"/>
        <v>205</v>
      </c>
    </row>
    <row r="1928" spans="1:9" x14ac:dyDescent="0.35">
      <c r="A1928" s="2" t="str">
        <f t="shared" si="307"/>
        <v>LA CROSSE</v>
      </c>
      <c r="B1928" s="2" t="str">
        <f t="shared" si="308"/>
        <v>LA CROSSE COUNTY</v>
      </c>
      <c r="C1928" s="2" t="s">
        <v>2181</v>
      </c>
      <c r="D1928" s="2" t="str">
        <f>CLEAN("5347-00-00")</f>
        <v>5347-00-00</v>
      </c>
      <c r="E1928" s="3" t="str">
        <f>CLEAN("T CAMPBELL - C LA CROSSE")</f>
        <v>T CAMPBELL - C LA CROSSE</v>
      </c>
      <c r="F1928" s="3" t="str">
        <f>CLEAN("CLINTON STREET TO LAKESHORE DRIVE")</f>
        <v>CLINTON STREET TO LAKESHORE DRIVE</v>
      </c>
      <c r="G1928" s="3" t="str">
        <f>CLEAN("DESIGN/PLAN CHECK REVIEW/RECST")</f>
        <v>DESIGN/PLAN CHECK REVIEW/RECST</v>
      </c>
      <c r="H1928" s="2" t="str">
        <f>CLEAN("CTH B")</f>
        <v>CTH B</v>
      </c>
      <c r="I1928" s="2" t="str">
        <f>CLEAN("206")</f>
        <v>206</v>
      </c>
    </row>
    <row r="1929" spans="1:9" x14ac:dyDescent="0.35">
      <c r="A1929" s="2" t="str">
        <f t="shared" si="307"/>
        <v>LA CROSSE</v>
      </c>
      <c r="B1929" s="2" t="str">
        <f t="shared" si="308"/>
        <v>LA CROSSE COUNTY</v>
      </c>
      <c r="C1929" s="2" t="s">
        <v>2213</v>
      </c>
      <c r="D1929" s="2" t="str">
        <f>CLEAN("5436-00-05")</f>
        <v>5436-00-05</v>
      </c>
      <c r="E1929" s="3" t="str">
        <f>CLEAN("TOWN OF BARRE - TOWN OF BANGOR")</f>
        <v>TOWN OF BARRE - TOWN OF BANGOR</v>
      </c>
      <c r="F1929" s="3" t="str">
        <f>CLEAN("RUSSLAN COULEE CREEK BRDG B-32-0014")</f>
        <v>RUSSLAN COULEE CREEK BRDG B-32-0014</v>
      </c>
      <c r="G1929" s="3" t="str">
        <f>CLEAN("DESIGN/PLAN CHECK REVIEW/RECST")</f>
        <v>DESIGN/PLAN CHECK REVIEW/RECST</v>
      </c>
      <c r="H1929" s="2" t="str">
        <f>CLEAN("CTH M")</f>
        <v>CTH M</v>
      </c>
      <c r="I1929" s="2" t="str">
        <f>CLEAN("205")</f>
        <v>205</v>
      </c>
    </row>
    <row r="1930" spans="1:9" x14ac:dyDescent="0.35">
      <c r="A1930" s="2" t="str">
        <f t="shared" si="307"/>
        <v>LA CROSSE</v>
      </c>
      <c r="B1930" s="2" t="str">
        <f t="shared" si="308"/>
        <v>LA CROSSE COUNTY</v>
      </c>
      <c r="C1930" s="2" t="s">
        <v>2183</v>
      </c>
      <c r="D1930" s="2" t="str">
        <f>CLEAN("5436-00-06")</f>
        <v>5436-00-06</v>
      </c>
      <c r="E1930" s="3" t="str">
        <f>CLEAN("CTH I - CTH O (CTH M)")</f>
        <v>CTH I - CTH O (CTH M)</v>
      </c>
      <c r="F1930" s="3" t="str">
        <f>CLEAN("CTH I TO CTH O")</f>
        <v>CTH I TO CTH O</v>
      </c>
      <c r="G1930" s="3" t="str">
        <f>CLEAN("DESIGN/PLAN CHECK REVIEW/RECST")</f>
        <v>DESIGN/PLAN CHECK REVIEW/RECST</v>
      </c>
      <c r="H1930" s="2" t="str">
        <f>CLEAN("CTH M")</f>
        <v>CTH M</v>
      </c>
      <c r="I1930" s="2" t="str">
        <f>CLEAN("206")</f>
        <v>206</v>
      </c>
    </row>
    <row r="1931" spans="1:9" x14ac:dyDescent="0.35">
      <c r="A1931" s="2" t="str">
        <f t="shared" si="307"/>
        <v>LA CROSSE</v>
      </c>
      <c r="B1931" s="2" t="str">
        <f t="shared" si="308"/>
        <v>LA CROSSE COUNTY</v>
      </c>
      <c r="C1931" s="2" t="s">
        <v>2099</v>
      </c>
      <c r="D1931" s="2" t="str">
        <f>CLEAN("5436-00-07")</f>
        <v>5436-00-07</v>
      </c>
      <c r="E1931" s="3" t="str">
        <f>CLEAN("CTH I - CTH YY (CTH M)")</f>
        <v>CTH I - CTH YY (CTH M)</v>
      </c>
      <c r="F1931" s="3" t="str">
        <f>CLEAN("BOSTWICK CREEK BRIDGE B-32-0007")</f>
        <v>BOSTWICK CREEK BRIDGE B-32-0007</v>
      </c>
      <c r="G1931" s="3" t="str">
        <f>CLEAN("DESIGN/PLAN CHECK REVIEW/BRRPL")</f>
        <v>DESIGN/PLAN CHECK REVIEW/BRRPL</v>
      </c>
      <c r="H1931" s="2" t="str">
        <f>CLEAN("CTH M")</f>
        <v>CTH M</v>
      </c>
      <c r="I1931" s="2" t="str">
        <f>CLEAN("205")</f>
        <v>205</v>
      </c>
    </row>
    <row r="1932" spans="1:9" x14ac:dyDescent="0.35">
      <c r="A1932" s="2" t="str">
        <f t="shared" si="307"/>
        <v>LA CROSSE</v>
      </c>
      <c r="B1932" s="2" t="str">
        <f t="shared" si="308"/>
        <v>LA CROSSE COUNTY</v>
      </c>
      <c r="C1932" s="2" t="s">
        <v>461</v>
      </c>
      <c r="D1932" s="2" t="str">
        <f>CLEAN("5436-00-75")</f>
        <v>5436-00-75</v>
      </c>
      <c r="E1932" s="3" t="str">
        <f>CLEAN("TOWN OF BARRE - TOWN OF BANGOR")</f>
        <v>TOWN OF BARRE - TOWN OF BANGOR</v>
      </c>
      <c r="F1932" s="3" t="str">
        <f>CLEAN("RUSSLAN COULEE CRK BRIDGE B-32-0239")</f>
        <v>RUSSLAN COULEE CRK BRIDGE B-32-0239</v>
      </c>
      <c r="G1932" s="3" t="str">
        <f>CLEAN("CONST/BRIDGE REPLACEMENT")</f>
        <v>CONST/BRIDGE REPLACEMENT</v>
      </c>
      <c r="H1932" s="2" t="str">
        <f>CLEAN("CTH M")</f>
        <v>CTH M</v>
      </c>
      <c r="I1932" s="2" t="str">
        <f>CLEAN("205")</f>
        <v>205</v>
      </c>
    </row>
    <row r="1933" spans="1:9" x14ac:dyDescent="0.35">
      <c r="A1933" s="2" t="str">
        <f t="shared" si="307"/>
        <v>LA CROSSE</v>
      </c>
      <c r="B1933" s="2" t="str">
        <f t="shared" si="308"/>
        <v>LA CROSSE COUNTY</v>
      </c>
      <c r="C1933" s="2" t="s">
        <v>67</v>
      </c>
      <c r="D1933" s="2" t="str">
        <f>CLEAN("5436-00-77")</f>
        <v>5436-00-77</v>
      </c>
      <c r="E1933" s="3" t="str">
        <f>CLEAN("CTH I - CTH YY (CTH M)")</f>
        <v>CTH I - CTH YY (CTH M)</v>
      </c>
      <c r="F1933" s="3" t="str">
        <f>CLEAN("BOSTWICK CREEK BRIDGE B-32-0585")</f>
        <v>BOSTWICK CREEK BRIDGE B-32-0585</v>
      </c>
      <c r="G1933" s="3" t="str">
        <f>CLEAN("CONST OPS/BRIDGE REPLACEMENT")</f>
        <v>CONST OPS/BRIDGE REPLACEMENT</v>
      </c>
      <c r="H1933" s="2" t="str">
        <f>CLEAN("CTH M")</f>
        <v>CTH M</v>
      </c>
      <c r="I1933" s="2" t="str">
        <f>CLEAN("205")</f>
        <v>205</v>
      </c>
    </row>
    <row r="1934" spans="1:9" x14ac:dyDescent="0.35">
      <c r="A1934" s="2" t="str">
        <f t="shared" si="307"/>
        <v>LA CROSSE</v>
      </c>
      <c r="B1934" s="2" t="str">
        <f t="shared" si="308"/>
        <v>LA CROSSE COUNTY</v>
      </c>
      <c r="C1934" s="2" t="s">
        <v>62</v>
      </c>
      <c r="D1934" s="2" t="str">
        <f>CLEAN("5503-00-70")</f>
        <v>5503-00-70</v>
      </c>
      <c r="E1934" s="3" t="str">
        <f>CLEAN("WASHINGTON - PORTLAND")</f>
        <v>WASHINGTON - PORTLAND</v>
      </c>
      <c r="F1934" s="3" t="str">
        <f>CLEAN("BERGE COULEE CREEK BRIDGE B-32-0238")</f>
        <v>BERGE COULEE CREEK BRIDGE B-32-0238</v>
      </c>
      <c r="G1934" s="3" t="str">
        <f>CLEAN("CONST OPS/BRIDGE REPLACEMENT")</f>
        <v>CONST OPS/BRIDGE REPLACEMENT</v>
      </c>
      <c r="H1934" s="2" t="str">
        <f>CLEAN("CTH X")</f>
        <v>CTH X</v>
      </c>
      <c r="I1934" s="2" t="str">
        <f>CLEAN("205")</f>
        <v>205</v>
      </c>
    </row>
    <row r="1935" spans="1:9" x14ac:dyDescent="0.35">
      <c r="A1935" s="2" t="str">
        <f t="shared" si="307"/>
        <v>LA CROSSE</v>
      </c>
      <c r="B1935" s="2" t="str">
        <f t="shared" si="308"/>
        <v>LA CROSSE COUNTY</v>
      </c>
      <c r="C1935" s="2" t="s">
        <v>3044</v>
      </c>
      <c r="D1935" s="2" t="str">
        <f>CLEAN("5991-08-73")</f>
        <v>5991-08-73</v>
      </c>
      <c r="E1935" s="3" t="str">
        <f>CLEAN("LA CROSSE CO  MULTI-USE TRAIL")</f>
        <v>LA CROSSE CO  MULTI-USE TRAIL</v>
      </c>
      <c r="F1935" s="3" t="str">
        <f>CLEAN("S KINNEY COULEE RD TO LANDFILL RD")</f>
        <v>S KINNEY COULEE RD TO LANDFILL RD</v>
      </c>
      <c r="G1935" s="3" t="str">
        <f>CLEAN("PEDESTRIAN/BICYCLE TRAIL")</f>
        <v>PEDESTRIAN/BICYCLE TRAIL</v>
      </c>
      <c r="H1935" s="2" t="str">
        <f>CLEAN("NON HWY")</f>
        <v>NON HWY</v>
      </c>
      <c r="I1935" s="2" t="str">
        <f>CLEAN("290")</f>
        <v>290</v>
      </c>
    </row>
    <row r="1936" spans="1:9" x14ac:dyDescent="0.35">
      <c r="A1936" s="2" t="str">
        <f t="shared" si="307"/>
        <v>LA CROSSE</v>
      </c>
      <c r="B1936" s="2" t="str">
        <f t="shared" si="308"/>
        <v>LA CROSSE COUNTY</v>
      </c>
      <c r="C1936" s="2" t="s">
        <v>2194</v>
      </c>
      <c r="D1936" s="2" t="str">
        <f>CLEAN("7049-00-00")</f>
        <v>7049-00-00</v>
      </c>
      <c r="E1936" s="3" t="str">
        <f>CLEAN("T OF ONALASKA - T OF FARMINGTON")</f>
        <v>T OF ONALASKA - T OF FARMINGTON</v>
      </c>
      <c r="F1936" s="3" t="str">
        <f>CLEAN("HALFWAY CREEK BRIDGE P-32-0055")</f>
        <v>HALFWAY CREEK BRIDGE P-32-0055</v>
      </c>
      <c r="G1936" s="3" t="str">
        <f>CLEAN("DESIGN/PLAN CHECK REVIEW/RECST")</f>
        <v>DESIGN/PLAN CHECK REVIEW/RECST</v>
      </c>
      <c r="H1936" s="2" t="str">
        <f>CLEAN("CTH D")</f>
        <v>CTH D</v>
      </c>
      <c r="I1936" s="2" t="str">
        <f>CLEAN("205")</f>
        <v>205</v>
      </c>
    </row>
    <row r="1937" spans="1:9" x14ac:dyDescent="0.35">
      <c r="A1937" s="2" t="str">
        <f t="shared" si="307"/>
        <v>LA CROSSE</v>
      </c>
      <c r="B1937" s="2" t="str">
        <f t="shared" si="308"/>
        <v>LA CROSSE COUNTY</v>
      </c>
      <c r="C1937" s="2" t="s">
        <v>440</v>
      </c>
      <c r="D1937" s="2" t="str">
        <f>CLEAN("7049-00-70")</f>
        <v>7049-00-70</v>
      </c>
      <c r="E1937" s="3" t="str">
        <f>CLEAN("T OF ONALASKA - T OF FARMINGTON")</f>
        <v>T OF ONALASKA - T OF FARMINGTON</v>
      </c>
      <c r="F1937" s="3" t="str">
        <f>CLEAN("HALFWAY CREEK BRIDGE  B-32-0240")</f>
        <v>HALFWAY CREEK BRIDGE  B-32-0240</v>
      </c>
      <c r="G1937" s="3" t="str">
        <f>CLEAN("CONST/BRIDGE REPLACEMENT")</f>
        <v>CONST/BRIDGE REPLACEMENT</v>
      </c>
      <c r="H1937" s="2" t="str">
        <f>CLEAN("CTH D")</f>
        <v>CTH D</v>
      </c>
      <c r="I1937" s="2" t="str">
        <f>CLEAN("205")</f>
        <v>205</v>
      </c>
    </row>
    <row r="1938" spans="1:9" x14ac:dyDescent="0.35">
      <c r="A1938" s="2" t="str">
        <f t="shared" si="307"/>
        <v>LA CROSSE</v>
      </c>
      <c r="B1938" s="2" t="str">
        <f t="shared" si="308"/>
        <v>LA CROSSE COUNTY</v>
      </c>
      <c r="C1938" s="2" t="s">
        <v>222</v>
      </c>
      <c r="D1938" s="2" t="str">
        <f>CLEAN("7067-00-71")</f>
        <v>7067-00-71</v>
      </c>
      <c r="E1938" s="3" t="str">
        <f>CLEAN("VILLAGE OF HOLMEN  CTH SN")</f>
        <v>VILLAGE OF HOLMEN  CTH SN</v>
      </c>
      <c r="F1938" s="3" t="str">
        <f>CLEAN("HANSON ROAD TO ALPINE LANE")</f>
        <v>HANSON ROAD TO ALPINE LANE</v>
      </c>
      <c r="G1938" s="3" t="str">
        <f>CLEAN("CONST OPS/RECONDITION")</f>
        <v>CONST OPS/RECONDITION</v>
      </c>
      <c r="H1938" s="2" t="str">
        <f>CLEAN("CTH SN")</f>
        <v>CTH SN</v>
      </c>
      <c r="I1938" s="2" t="str">
        <f>CLEAN("206")</f>
        <v>206</v>
      </c>
    </row>
    <row r="1939" spans="1:9" x14ac:dyDescent="0.35">
      <c r="A1939" s="2" t="str">
        <f t="shared" si="307"/>
        <v>LA CROSSE</v>
      </c>
      <c r="B1939" s="2" t="str">
        <f t="shared" si="308"/>
        <v>LA CROSSE COUNTY</v>
      </c>
      <c r="C1939" s="2" t="s">
        <v>541</v>
      </c>
      <c r="D1939" s="2" t="str">
        <f>CLEAN("7076-01-72")</f>
        <v>7076-01-72</v>
      </c>
      <c r="E1939" s="3" t="str">
        <f>CLEAN("BANGOR -ROCKLAND")</f>
        <v>BANGOR -ROCKLAND</v>
      </c>
      <c r="F1939" s="3" t="str">
        <f>CLEAN("CURVE 0.3 MI W OF ROCKLAND V LIMIT")</f>
        <v>CURVE 0.3 MI W OF ROCKLAND V LIMIT</v>
      </c>
      <c r="G1939" s="3" t="str">
        <f>CLEAN("CONST/CURVE RECST")</f>
        <v>CONST/CURVE RECST</v>
      </c>
      <c r="H1939" s="2" t="str">
        <f>CLEAN("CTH U")</f>
        <v>CTH U</v>
      </c>
      <c r="I1939" s="2" t="str">
        <f>CLEAN("206")</f>
        <v>206</v>
      </c>
    </row>
    <row r="1940" spans="1:9" x14ac:dyDescent="0.35">
      <c r="A1940" s="2" t="str">
        <f t="shared" si="307"/>
        <v>LA CROSSE</v>
      </c>
      <c r="B1940" s="2" t="str">
        <f t="shared" si="308"/>
        <v>LA CROSSE COUNTY</v>
      </c>
      <c r="C1940" s="2" t="s">
        <v>1459</v>
      </c>
      <c r="D1940" s="2" t="str">
        <f>CLEAN("7077-00-00")</f>
        <v>7077-00-00</v>
      </c>
      <c r="E1940" s="3" t="str">
        <f>CLEAN("CTH D - CTH M (CTH W)")</f>
        <v>CTH D - CTH M (CTH W)</v>
      </c>
      <c r="F1940" s="3" t="str">
        <f>CLEAN("JOHNSON COULEE CREEK BRDG B-32-0001")</f>
        <v>JOHNSON COULEE CREEK BRDG B-32-0001</v>
      </c>
      <c r="G1940" s="3" t="str">
        <f>CLEAN("DESIGN - FULL PS&amp;E BRRPL")</f>
        <v>DESIGN - FULL PS&amp;E BRRPL</v>
      </c>
      <c r="H1940" s="2" t="str">
        <f>CLEAN("CTH W")</f>
        <v>CTH W</v>
      </c>
      <c r="I1940" s="2" t="str">
        <f t="shared" ref="I1940:I1949" si="310">CLEAN("205")</f>
        <v>205</v>
      </c>
    </row>
    <row r="1941" spans="1:9" x14ac:dyDescent="0.35">
      <c r="A1941" s="2" t="str">
        <f t="shared" si="307"/>
        <v>LA CROSSE</v>
      </c>
      <c r="B1941" s="2" t="str">
        <f t="shared" si="308"/>
        <v>LA CROSSE COUNTY</v>
      </c>
      <c r="C1941" s="2" t="s">
        <v>1794</v>
      </c>
      <c r="D1941" s="2" t="str">
        <f>CLEAN("7269-00-01")</f>
        <v>7269-00-01</v>
      </c>
      <c r="E1941" s="3" t="str">
        <f>CLEAN("T HOLLAND  CASBERG COULEE ROAD")</f>
        <v>T HOLLAND  CASBERG COULEE ROAD</v>
      </c>
      <c r="F1941" s="3" t="str">
        <f>CLEAN("LONG COULEE CREEK BRIDGE B-32-0095")</f>
        <v>LONG COULEE CREEK BRIDGE B-32-0095</v>
      </c>
      <c r="G1941" s="3" t="str">
        <f>CLEAN("DESIGN/BRIDGE REPLACEMENT")</f>
        <v>DESIGN/BRIDGE REPLACEMENT</v>
      </c>
      <c r="H1941" s="2" t="str">
        <f>CLEAN("LOC STR")</f>
        <v>LOC STR</v>
      </c>
      <c r="I1941" s="2" t="str">
        <f t="shared" si="310"/>
        <v>205</v>
      </c>
    </row>
    <row r="1942" spans="1:9" x14ac:dyDescent="0.35">
      <c r="A1942" s="2" t="str">
        <f t="shared" si="307"/>
        <v>LA CROSSE</v>
      </c>
      <c r="B1942" s="2" t="str">
        <f t="shared" si="308"/>
        <v>LA CROSSE COUNTY</v>
      </c>
      <c r="C1942" s="2" t="s">
        <v>451</v>
      </c>
      <c r="D1942" s="2" t="str">
        <f>CLEAN("7269-00-71")</f>
        <v>7269-00-71</v>
      </c>
      <c r="E1942" s="3" t="str">
        <f>CLEAN("T HOLLAND  CASBERG COULEE ROAD")</f>
        <v>T HOLLAND  CASBERG COULEE ROAD</v>
      </c>
      <c r="F1942" s="3" t="str">
        <f>CLEAN("LONG COULEE CREEK BRIDGE B-32-0251")</f>
        <v>LONG COULEE CREEK BRIDGE B-32-0251</v>
      </c>
      <c r="G1942" s="3" t="str">
        <f>CLEAN("CONST/BRIDGE REPLACEMENT")</f>
        <v>CONST/BRIDGE REPLACEMENT</v>
      </c>
      <c r="H1942" s="2" t="str">
        <f>CLEAN("LOC STR")</f>
        <v>LOC STR</v>
      </c>
      <c r="I1942" s="2" t="str">
        <f t="shared" si="310"/>
        <v>205</v>
      </c>
    </row>
    <row r="1943" spans="1:9" x14ac:dyDescent="0.35">
      <c r="A1943" s="2" t="str">
        <f t="shared" si="307"/>
        <v>LA CROSSE</v>
      </c>
      <c r="B1943" s="2" t="str">
        <f t="shared" si="308"/>
        <v>LA CROSSE COUNTY</v>
      </c>
      <c r="C1943" s="2" t="s">
        <v>2102</v>
      </c>
      <c r="D1943" s="2" t="str">
        <f>CLEAN("7272-00-02")</f>
        <v>7272-00-02</v>
      </c>
      <c r="E1943" s="3" t="str">
        <f>CLEAN("T ONALASKA  MOHICAN TRAIL")</f>
        <v>T ONALASKA  MOHICAN TRAIL</v>
      </c>
      <c r="F1943" s="3" t="str">
        <f>CLEAN("BR SAND LAKE COULEE CK BR P-32-0923")</f>
        <v>BR SAND LAKE COULEE CK BR P-32-0923</v>
      </c>
      <c r="G1943" s="3" t="str">
        <f>CLEAN("DESIGN/PLAN CHECK REVIEW/BRRPL")</f>
        <v>DESIGN/PLAN CHECK REVIEW/BRRPL</v>
      </c>
      <c r="H1943" s="2" t="str">
        <f>CLEAN("LOC STR")</f>
        <v>LOC STR</v>
      </c>
      <c r="I1943" s="2" t="str">
        <f t="shared" si="310"/>
        <v>205</v>
      </c>
    </row>
    <row r="1944" spans="1:9" x14ac:dyDescent="0.35">
      <c r="A1944" s="2" t="str">
        <f t="shared" si="307"/>
        <v>LA CROSSE</v>
      </c>
      <c r="B1944" s="2" t="str">
        <f t="shared" si="308"/>
        <v>LA CROSSE COUNTY</v>
      </c>
      <c r="C1944" s="2" t="s">
        <v>73</v>
      </c>
      <c r="D1944" s="2" t="str">
        <f>CLEAN("7272-00-72")</f>
        <v>7272-00-72</v>
      </c>
      <c r="E1944" s="3" t="str">
        <f>CLEAN("TOWN OF ONALASKA  MOHICAN TRAIL")</f>
        <v>TOWN OF ONALASKA  MOHICAN TRAIL</v>
      </c>
      <c r="F1944" s="3" t="str">
        <f>CLEAN("BR SAND LAKE COULEE CREEK B-32-0584")</f>
        <v>BR SAND LAKE COULEE CREEK B-32-0584</v>
      </c>
      <c r="G1944" s="3" t="str">
        <f>CLEAN("CONST OPS/BRIDGE REPLACEMENT")</f>
        <v>CONST OPS/BRIDGE REPLACEMENT</v>
      </c>
      <c r="H1944" s="2" t="str">
        <f>CLEAN("LOC STR")</f>
        <v>LOC STR</v>
      </c>
      <c r="I1944" s="2" t="str">
        <f t="shared" si="310"/>
        <v>205</v>
      </c>
    </row>
    <row r="1945" spans="1:9" x14ac:dyDescent="0.35">
      <c r="A1945" s="2" t="str">
        <f t="shared" si="307"/>
        <v>LA CROSSE</v>
      </c>
      <c r="B1945" s="2" t="str">
        <f t="shared" si="308"/>
        <v>LA CROSSE COUNTY</v>
      </c>
      <c r="C1945" s="2" t="s">
        <v>2195</v>
      </c>
      <c r="D1945" s="2" t="str">
        <f>CLEAN("7323-00-00")</f>
        <v>7323-00-00</v>
      </c>
      <c r="E1945" s="3" t="str">
        <f>CLEAN("T OF ONALASKA - T OF FARMINGTON")</f>
        <v>T OF ONALASKA - T OF FARMINGTON</v>
      </c>
      <c r="F1945" s="3" t="str">
        <f>CLEAN("HALFWAY CREEK BRIDGE P-32-0100")</f>
        <v>HALFWAY CREEK BRIDGE P-32-0100</v>
      </c>
      <c r="G1945" s="3" t="str">
        <f>CLEAN("DESIGN/PLAN CHECK REVIEW/RECST")</f>
        <v>DESIGN/PLAN CHECK REVIEW/RECST</v>
      </c>
      <c r="H1945" s="2" t="str">
        <f>CLEAN("CTH M")</f>
        <v>CTH M</v>
      </c>
      <c r="I1945" s="2" t="str">
        <f t="shared" si="310"/>
        <v>205</v>
      </c>
    </row>
    <row r="1946" spans="1:9" x14ac:dyDescent="0.35">
      <c r="A1946" s="2" t="str">
        <f t="shared" si="307"/>
        <v>LA CROSSE</v>
      </c>
      <c r="B1946" s="2" t="str">
        <f t="shared" si="308"/>
        <v>LA CROSSE COUNTY</v>
      </c>
      <c r="C1946" s="2" t="s">
        <v>1788</v>
      </c>
      <c r="D1946" s="2" t="str">
        <f>CLEAN("7323-00-01")</f>
        <v>7323-00-01</v>
      </c>
      <c r="E1946" s="3" t="str">
        <f>CLEAN("STH 16 - CTH S")</f>
        <v>STH 16 - CTH S</v>
      </c>
      <c r="F1946" s="3" t="str">
        <f>CLEAN("LA CROSSE RIVER BRIDGE  B-32-0004")</f>
        <v>LA CROSSE RIVER BRIDGE  B-32-0004</v>
      </c>
      <c r="G1946" s="3" t="str">
        <f>CLEAN("DESIGN/BRIDGE REPLACEMENT")</f>
        <v>DESIGN/BRIDGE REPLACEMENT</v>
      </c>
      <c r="H1946" s="2" t="str">
        <f>CLEAN("CTH M")</f>
        <v>CTH M</v>
      </c>
      <c r="I1946" s="2" t="str">
        <f t="shared" si="310"/>
        <v>205</v>
      </c>
    </row>
    <row r="1947" spans="1:9" x14ac:dyDescent="0.35">
      <c r="A1947" s="2" t="str">
        <f t="shared" si="307"/>
        <v>LA CROSSE</v>
      </c>
      <c r="B1947" s="2" t="str">
        <f t="shared" si="308"/>
        <v>LA CROSSE COUNTY</v>
      </c>
      <c r="C1947" s="2" t="s">
        <v>2104</v>
      </c>
      <c r="D1947" s="2" t="str">
        <f>CLEAN("7323-00-02")</f>
        <v>7323-00-02</v>
      </c>
      <c r="E1947" s="3" t="str">
        <f>CLEAN("CTH D - CTH T")</f>
        <v>CTH D - CTH T</v>
      </c>
      <c r="F1947" s="3" t="str">
        <f>CLEAN("FLEMING CREEK BRIDGE  B-32-0548")</f>
        <v>FLEMING CREEK BRIDGE  B-32-0548</v>
      </c>
      <c r="G1947" s="3" t="str">
        <f>CLEAN("DESIGN/PLAN CHECK REVIEW/BRRPL")</f>
        <v>DESIGN/PLAN CHECK REVIEW/BRRPL</v>
      </c>
      <c r="H1947" s="2" t="str">
        <f>CLEAN("CTH M")</f>
        <v>CTH M</v>
      </c>
      <c r="I1947" s="2" t="str">
        <f t="shared" si="310"/>
        <v>205</v>
      </c>
    </row>
    <row r="1948" spans="1:9" x14ac:dyDescent="0.35">
      <c r="A1948" s="2" t="str">
        <f t="shared" si="307"/>
        <v>LA CROSSE</v>
      </c>
      <c r="B1948" s="2" t="str">
        <f t="shared" si="308"/>
        <v>LA CROSSE COUNTY</v>
      </c>
      <c r="C1948" s="2" t="s">
        <v>443</v>
      </c>
      <c r="D1948" s="2" t="str">
        <f>CLEAN("7323-00-71")</f>
        <v>7323-00-71</v>
      </c>
      <c r="E1948" s="3" t="str">
        <f>CLEAN("STH 16 - CTH S")</f>
        <v>STH 16 - CTH S</v>
      </c>
      <c r="F1948" s="3" t="str">
        <f>CLEAN("LA CROSSE RIVER BRIDGE  B-32-0245")</f>
        <v>LA CROSSE RIVER BRIDGE  B-32-0245</v>
      </c>
      <c r="G1948" s="3" t="str">
        <f>CLEAN("CONST/BRIDGE REPLACEMENT")</f>
        <v>CONST/BRIDGE REPLACEMENT</v>
      </c>
      <c r="H1948" s="2" t="str">
        <f>CLEAN("CTH M")</f>
        <v>CTH M</v>
      </c>
      <c r="I1948" s="2" t="str">
        <f t="shared" si="310"/>
        <v>205</v>
      </c>
    </row>
    <row r="1949" spans="1:9" x14ac:dyDescent="0.35">
      <c r="A1949" s="2" t="str">
        <f t="shared" si="307"/>
        <v>LA CROSSE</v>
      </c>
      <c r="B1949" s="2" t="str">
        <f t="shared" si="308"/>
        <v>LA CROSSE COUNTY</v>
      </c>
      <c r="C1949" s="2" t="s">
        <v>111</v>
      </c>
      <c r="D1949" s="2" t="str">
        <f>CLEAN("7345-00-70")</f>
        <v>7345-00-70</v>
      </c>
      <c r="E1949" s="3" t="str">
        <f>CLEAN("CTH D - CTH TT")</f>
        <v>CTH D - CTH TT</v>
      </c>
      <c r="F1949" s="3" t="str">
        <f>CLEAN("LONG COULEE CREEK BRIDGE  B-32-0237")</f>
        <v>LONG COULEE CREEK BRIDGE  B-32-0237</v>
      </c>
      <c r="G1949" s="3" t="str">
        <f>CLEAN("CONST OPS/BRIDGE REPLACEMENT")</f>
        <v>CONST OPS/BRIDGE REPLACEMENT</v>
      </c>
      <c r="H1949" s="2" t="str">
        <f>CLEAN("CTH V")</f>
        <v>CTH V</v>
      </c>
      <c r="I1949" s="2" t="str">
        <f t="shared" si="310"/>
        <v>205</v>
      </c>
    </row>
    <row r="1950" spans="1:9" x14ac:dyDescent="0.35">
      <c r="A1950" s="2" t="str">
        <f t="shared" ref="A1950:A1968" si="311">CLEAN("LAFAYETTE")</f>
        <v>LAFAYETTE</v>
      </c>
      <c r="B1950" s="2" t="str">
        <f t="shared" ref="B1950:B1968" si="312">CLEAN("LAFAYETTE COUNTY")</f>
        <v>LAFAYETTE COUNTY</v>
      </c>
      <c r="C1950" s="2" t="s">
        <v>1529</v>
      </c>
      <c r="D1950" s="2" t="str">
        <f>CLEAN("5175-00-01")</f>
        <v>5175-00-01</v>
      </c>
      <c r="E1950" s="3" t="str">
        <f>CLEAN("VILLAGE OF BELMONT  CTH G")</f>
        <v>VILLAGE OF BELMONT  CTH G</v>
      </c>
      <c r="F1950" s="3" t="str">
        <f>CLEAN("STH 126 TO HAZEL STREET")</f>
        <v>STH 126 TO HAZEL STREET</v>
      </c>
      <c r="G1950" s="3" t="str">
        <f>CLEAN("DESIGN - FULL PS&amp;E RECONSTRUCTION")</f>
        <v>DESIGN - FULL PS&amp;E RECONSTRUCTION</v>
      </c>
      <c r="H1950" s="2" t="str">
        <f>CLEAN("CTH G")</f>
        <v>CTH G</v>
      </c>
      <c r="I1950" s="2" t="str">
        <f>CLEAN("206")</f>
        <v>206</v>
      </c>
    </row>
    <row r="1951" spans="1:9" x14ac:dyDescent="0.35">
      <c r="A1951" s="2" t="str">
        <f t="shared" si="311"/>
        <v>LAFAYETTE</v>
      </c>
      <c r="B1951" s="2" t="str">
        <f t="shared" si="312"/>
        <v>LAFAYETTE COUNTY</v>
      </c>
      <c r="C1951" s="2" t="s">
        <v>1880</v>
      </c>
      <c r="D1951" s="2" t="str">
        <f>CLEAN("5264-00-00")</f>
        <v>5264-00-00</v>
      </c>
      <c r="E1951" s="3" t="str">
        <f>CLEAN("CTH G - CTH N (CTH F)")</f>
        <v>CTH G - CTH N (CTH F)</v>
      </c>
      <c r="F1951" s="3" t="str">
        <f>CLEAN("STEINER BRANCH BRIDGE B-33-0085")</f>
        <v>STEINER BRANCH BRIDGE B-33-0085</v>
      </c>
      <c r="G1951" s="3" t="str">
        <f>CLEAN("DESIGN/FULL PS&amp;E BRRPL")</f>
        <v>DESIGN/FULL PS&amp;E BRRPL</v>
      </c>
      <c r="H1951" s="2" t="str">
        <f>CLEAN("CTH F")</f>
        <v>CTH F</v>
      </c>
      <c r="I1951" s="2" t="str">
        <f t="shared" ref="I1951:I1965" si="313">CLEAN("205")</f>
        <v>205</v>
      </c>
    </row>
    <row r="1952" spans="1:9" x14ac:dyDescent="0.35">
      <c r="A1952" s="2" t="str">
        <f t="shared" si="311"/>
        <v>LAFAYETTE</v>
      </c>
      <c r="B1952" s="2" t="str">
        <f t="shared" si="312"/>
        <v>LAFAYETTE COUNTY</v>
      </c>
      <c r="C1952" s="2" t="s">
        <v>1829</v>
      </c>
      <c r="D1952" s="2" t="str">
        <f>CLEAN("5264-00-01")</f>
        <v>5264-00-01</v>
      </c>
      <c r="E1952" s="3" t="str">
        <f>CLEAN("CTH G - CTH N (CTH F)")</f>
        <v>CTH G - CTH N (CTH F)</v>
      </c>
      <c r="F1952" s="3" t="str">
        <f>CLEAN("YELLOWSTONE RIVER BRIDGE B-33-0086")</f>
        <v>YELLOWSTONE RIVER BRIDGE B-33-0086</v>
      </c>
      <c r="G1952" s="3" t="str">
        <f>CLEAN("DESIGN/BRIDGE REPLACEMENT")</f>
        <v>DESIGN/BRIDGE REPLACEMENT</v>
      </c>
      <c r="H1952" s="2" t="str">
        <f>CLEAN("CTH F")</f>
        <v>CTH F</v>
      </c>
      <c r="I1952" s="2" t="str">
        <f t="shared" si="313"/>
        <v>205</v>
      </c>
    </row>
    <row r="1953" spans="1:9" x14ac:dyDescent="0.35">
      <c r="A1953" s="2" t="str">
        <f t="shared" si="311"/>
        <v>LAFAYETTE</v>
      </c>
      <c r="B1953" s="2" t="str">
        <f t="shared" si="312"/>
        <v>LAFAYETTE COUNTY</v>
      </c>
      <c r="C1953" s="2" t="s">
        <v>1870</v>
      </c>
      <c r="D1953" s="2" t="str">
        <f>CLEAN("5625-00-05")</f>
        <v>5625-00-05</v>
      </c>
      <c r="E1953" s="3" t="str">
        <f>CLEAN("TOWN OF BENTON  CARR FACTORY ROAD")</f>
        <v>TOWN OF BENTON  CARR FACTORY ROAD</v>
      </c>
      <c r="F1953" s="3" t="str">
        <f>CLEAN("BR GALENA RIVER BRIDGE P-33-0903")</f>
        <v>BR GALENA RIVER BRIDGE P-33-0903</v>
      </c>
      <c r="G1953" s="3" t="str">
        <f>CLEAN("DESIGN/FULL PS&amp;E BRRPL")</f>
        <v>DESIGN/FULL PS&amp;E BRRPL</v>
      </c>
      <c r="H1953" s="2" t="str">
        <f>CLEAN("LOC STR")</f>
        <v>LOC STR</v>
      </c>
      <c r="I1953" s="2" t="str">
        <f t="shared" si="313"/>
        <v>205</v>
      </c>
    </row>
    <row r="1954" spans="1:9" x14ac:dyDescent="0.35">
      <c r="A1954" s="2" t="str">
        <f t="shared" si="311"/>
        <v>LAFAYETTE</v>
      </c>
      <c r="B1954" s="2" t="str">
        <f t="shared" si="312"/>
        <v>LAFAYETTE COUNTY</v>
      </c>
      <c r="C1954" s="2" t="s">
        <v>69</v>
      </c>
      <c r="D1954" s="2" t="str">
        <f>CLEAN("5625-00-75")</f>
        <v>5625-00-75</v>
      </c>
      <c r="E1954" s="3" t="str">
        <f>CLEAN("TOWN OF BENTON  CARR FACTORY ROAD")</f>
        <v>TOWN OF BENTON  CARR FACTORY ROAD</v>
      </c>
      <c r="F1954" s="3" t="str">
        <f>CLEAN("BR GALENA RIVER BRIDGE B-33-0148")</f>
        <v>BR GALENA RIVER BRIDGE B-33-0148</v>
      </c>
      <c r="G1954" s="3" t="str">
        <f>CLEAN("CONST OPS/BRIDGE REPLACEMENT")</f>
        <v>CONST OPS/BRIDGE REPLACEMENT</v>
      </c>
      <c r="H1954" s="2" t="str">
        <f>CLEAN("LOC STR")</f>
        <v>LOC STR</v>
      </c>
      <c r="I1954" s="2" t="str">
        <f t="shared" si="313"/>
        <v>205</v>
      </c>
    </row>
    <row r="1955" spans="1:9" x14ac:dyDescent="0.35">
      <c r="A1955" s="2" t="str">
        <f t="shared" si="311"/>
        <v>LAFAYETTE</v>
      </c>
      <c r="B1955" s="2" t="str">
        <f t="shared" si="312"/>
        <v>LAFAYETTE COUNTY</v>
      </c>
      <c r="C1955" s="2" t="s">
        <v>1432</v>
      </c>
      <c r="D1955" s="2" t="str">
        <f>CLEAN("5648-00-05")</f>
        <v>5648-00-05</v>
      </c>
      <c r="E1955" s="3" t="str">
        <f>CLEAN("CTH D - CTH W (CTH S)")</f>
        <v>CTH D - CTH W (CTH S)</v>
      </c>
      <c r="F1955" s="3" t="str">
        <f>CLEAN("CANON CREEK BRIDGE P-33-0936")</f>
        <v>CANON CREEK BRIDGE P-33-0936</v>
      </c>
      <c r="G1955" s="3" t="str">
        <f>CLEAN("DESIGN - FULL PS&amp;E BRRPL")</f>
        <v>DESIGN - FULL PS&amp;E BRRPL</v>
      </c>
      <c r="H1955" s="2" t="str">
        <f>CLEAN("CTH S")</f>
        <v>CTH S</v>
      </c>
      <c r="I1955" s="2" t="str">
        <f t="shared" si="313"/>
        <v>205</v>
      </c>
    </row>
    <row r="1956" spans="1:9" x14ac:dyDescent="0.35">
      <c r="A1956" s="2" t="str">
        <f t="shared" si="311"/>
        <v>LAFAYETTE</v>
      </c>
      <c r="B1956" s="2" t="str">
        <f t="shared" si="312"/>
        <v>LAFAYETTE COUNTY</v>
      </c>
      <c r="C1956" s="2" t="s">
        <v>1876</v>
      </c>
      <c r="D1956" s="2" t="str">
        <f>CLEAN("5655-00-03")</f>
        <v>5655-00-03</v>
      </c>
      <c r="E1956" s="3" t="str">
        <f>CLEAN("TOWN OF GRATIOT  RIVERSIDE ROAD")</f>
        <v>TOWN OF GRATIOT  RIVERSIDE ROAD</v>
      </c>
      <c r="F1956" s="3" t="str">
        <f>CLEAN("PECATONICA RIVER BRIDGE B-33-0002")</f>
        <v>PECATONICA RIVER BRIDGE B-33-0002</v>
      </c>
      <c r="G1956" s="3" t="str">
        <f>CLEAN("DESIGN/FULL PS&amp;E BRRPL")</f>
        <v>DESIGN/FULL PS&amp;E BRRPL</v>
      </c>
      <c r="H1956" s="2" t="str">
        <f t="shared" ref="H1956:H1961" si="314">CLEAN("LOC STR")</f>
        <v>LOC STR</v>
      </c>
      <c r="I1956" s="2" t="str">
        <f t="shared" si="313"/>
        <v>205</v>
      </c>
    </row>
    <row r="1957" spans="1:9" x14ac:dyDescent="0.35">
      <c r="A1957" s="2" t="str">
        <f t="shared" si="311"/>
        <v>LAFAYETTE</v>
      </c>
      <c r="B1957" s="2" t="str">
        <f t="shared" si="312"/>
        <v>LAFAYETTE COUNTY</v>
      </c>
      <c r="C1957" s="2" t="s">
        <v>1778</v>
      </c>
      <c r="D1957" s="2" t="str">
        <f>CLEAN("5655-00-04")</f>
        <v>5655-00-04</v>
      </c>
      <c r="E1957" s="3" t="str">
        <f>CLEAN("T GRATIOT  RIVERBEND ROAD")</f>
        <v>T GRATIOT  RIVERBEND ROAD</v>
      </c>
      <c r="F1957" s="3" t="str">
        <f>CLEAN("FEATHER BROOK BRIDGE  P-33-0946")</f>
        <v>FEATHER BROOK BRIDGE  P-33-0946</v>
      </c>
      <c r="G1957" s="3" t="str">
        <f>CLEAN("DESIGN/BRIDGE REPLACEMENT")</f>
        <v>DESIGN/BRIDGE REPLACEMENT</v>
      </c>
      <c r="H1957" s="2" t="str">
        <f t="shared" si="314"/>
        <v>LOC STR</v>
      </c>
      <c r="I1957" s="2" t="str">
        <f t="shared" si="313"/>
        <v>205</v>
      </c>
    </row>
    <row r="1958" spans="1:9" x14ac:dyDescent="0.35">
      <c r="A1958" s="2" t="str">
        <f t="shared" si="311"/>
        <v>LAFAYETTE</v>
      </c>
      <c r="B1958" s="2" t="str">
        <f t="shared" si="312"/>
        <v>LAFAYETTE COUNTY</v>
      </c>
      <c r="C1958" s="2" t="s">
        <v>2293</v>
      </c>
      <c r="D1958" s="2" t="str">
        <f>CLEAN("5671-00-07")</f>
        <v>5671-00-07</v>
      </c>
      <c r="E1958" s="3" t="str">
        <f>CLEAN("T OF DARLINGTON  AMES ROAD")</f>
        <v>T OF DARLINGTON  AMES ROAD</v>
      </c>
      <c r="F1958" s="3" t="str">
        <f>CLEAN("AMES BRANCH BRIDGE P-33-0173")</f>
        <v>AMES BRANCH BRIDGE P-33-0173</v>
      </c>
      <c r="G1958" s="3" t="str">
        <f>CLEAN("DESIGN-FULL PS&amp;E BRIDGE REPLACEMENT")</f>
        <v>DESIGN-FULL PS&amp;E BRIDGE REPLACEMENT</v>
      </c>
      <c r="H1958" s="2" t="str">
        <f t="shared" si="314"/>
        <v>LOC STR</v>
      </c>
      <c r="I1958" s="2" t="str">
        <f t="shared" si="313"/>
        <v>205</v>
      </c>
    </row>
    <row r="1959" spans="1:9" x14ac:dyDescent="0.35">
      <c r="A1959" s="2" t="str">
        <f t="shared" si="311"/>
        <v>LAFAYETTE</v>
      </c>
      <c r="B1959" s="2" t="str">
        <f t="shared" si="312"/>
        <v>LAFAYETTE COUNTY</v>
      </c>
      <c r="C1959" s="2" t="s">
        <v>57</v>
      </c>
      <c r="D1959" s="2" t="str">
        <f>CLEAN("5671-00-77")</f>
        <v>5671-00-77</v>
      </c>
      <c r="E1959" s="3" t="str">
        <f>CLEAN("T OF DARLINGTON  AMES ROAD")</f>
        <v>T OF DARLINGTON  AMES ROAD</v>
      </c>
      <c r="F1959" s="3" t="str">
        <f>CLEAN("AMES BRANCH BRIDGE B-33-0141")</f>
        <v>AMES BRANCH BRIDGE B-33-0141</v>
      </c>
      <c r="G1959" s="3" t="str">
        <f>CLEAN("CONST OPS/BRIDGE REPLACEMENT")</f>
        <v>CONST OPS/BRIDGE REPLACEMENT</v>
      </c>
      <c r="H1959" s="2" t="str">
        <f t="shared" si="314"/>
        <v>LOC STR</v>
      </c>
      <c r="I1959" s="2" t="str">
        <f t="shared" si="313"/>
        <v>205</v>
      </c>
    </row>
    <row r="1960" spans="1:9" x14ac:dyDescent="0.35">
      <c r="A1960" s="2" t="str">
        <f t="shared" si="311"/>
        <v>LAFAYETTE</v>
      </c>
      <c r="B1960" s="2" t="str">
        <f t="shared" si="312"/>
        <v>LAFAYETTE COUNTY</v>
      </c>
      <c r="C1960" s="2" t="s">
        <v>1780</v>
      </c>
      <c r="D1960" s="2" t="str">
        <f>CLEAN("5675-00-03")</f>
        <v>5675-00-03</v>
      </c>
      <c r="E1960" s="3" t="str">
        <f>CLEAN("T OF NEW DIGGINGS  TWIN BRIDGE ROAD")</f>
        <v>T OF NEW DIGGINGS  TWIN BRIDGE ROAD</v>
      </c>
      <c r="F1960" s="3" t="str">
        <f>CLEAN("GALENA RIVER BRIDGE P-33-0198")</f>
        <v>GALENA RIVER BRIDGE P-33-0198</v>
      </c>
      <c r="G1960" s="3" t="str">
        <f>CLEAN("DESIGN/BRIDGE REPLACEMENT")</f>
        <v>DESIGN/BRIDGE REPLACEMENT</v>
      </c>
      <c r="H1960" s="2" t="str">
        <f t="shared" si="314"/>
        <v>LOC STR</v>
      </c>
      <c r="I1960" s="2" t="str">
        <f t="shared" si="313"/>
        <v>205</v>
      </c>
    </row>
    <row r="1961" spans="1:9" x14ac:dyDescent="0.35">
      <c r="A1961" s="2" t="str">
        <f t="shared" si="311"/>
        <v>LAFAYETTE</v>
      </c>
      <c r="B1961" s="2" t="str">
        <f t="shared" si="312"/>
        <v>LAFAYETTE COUNTY</v>
      </c>
      <c r="C1961" s="2" t="s">
        <v>1777</v>
      </c>
      <c r="D1961" s="2" t="str">
        <f>CLEAN("5695-00-03")</f>
        <v>5695-00-03</v>
      </c>
      <c r="E1961" s="3" t="str">
        <f>CLEAN("TOWN OF WIOTA  CISSERVILLE ROAD")</f>
        <v>TOWN OF WIOTA  CISSERVILLE ROAD</v>
      </c>
      <c r="F1961" s="3" t="str">
        <f>CLEAN("E BRANCH PECATONICA BR P-33-0155")</f>
        <v>E BRANCH PECATONICA BR P-33-0155</v>
      </c>
      <c r="G1961" s="3" t="str">
        <f>CLEAN("DESIGN/BRIDGE REPLACEMENT")</f>
        <v>DESIGN/BRIDGE REPLACEMENT</v>
      </c>
      <c r="H1961" s="2" t="str">
        <f t="shared" si="314"/>
        <v>LOC STR</v>
      </c>
      <c r="I1961" s="2" t="str">
        <f t="shared" si="313"/>
        <v>205</v>
      </c>
    </row>
    <row r="1962" spans="1:9" x14ac:dyDescent="0.35">
      <c r="A1962" s="2" t="str">
        <f t="shared" si="311"/>
        <v>LAFAYETTE</v>
      </c>
      <c r="B1962" s="2" t="str">
        <f t="shared" si="312"/>
        <v>LAFAYETTE COUNTY</v>
      </c>
      <c r="C1962" s="2" t="s">
        <v>1872</v>
      </c>
      <c r="D1962" s="2" t="str">
        <f>CLEAN("5695-00-04")</f>
        <v>5695-00-04</v>
      </c>
      <c r="E1962" s="3" t="str">
        <f>CLEAN("CTH W - STH 11 (CTH I)")</f>
        <v>CTH W - STH 11 (CTH I)</v>
      </c>
      <c r="F1962" s="3" t="str">
        <f>CLEAN("ELLIS BRANCH BRIDGE P-33-0223")</f>
        <v>ELLIS BRANCH BRIDGE P-33-0223</v>
      </c>
      <c r="G1962" s="3" t="str">
        <f>CLEAN("DESIGN/FULL PS&amp;E BRRPL")</f>
        <v>DESIGN/FULL PS&amp;E BRRPL</v>
      </c>
      <c r="H1962" s="2" t="str">
        <f>CLEAN("CTH I")</f>
        <v>CTH I</v>
      </c>
      <c r="I1962" s="2" t="str">
        <f t="shared" si="313"/>
        <v>205</v>
      </c>
    </row>
    <row r="1963" spans="1:9" x14ac:dyDescent="0.35">
      <c r="A1963" s="2" t="str">
        <f t="shared" si="311"/>
        <v>LAFAYETTE</v>
      </c>
      <c r="B1963" s="2" t="str">
        <f t="shared" si="312"/>
        <v>LAFAYETTE COUNTY</v>
      </c>
      <c r="C1963" s="2" t="s">
        <v>91</v>
      </c>
      <c r="D1963" s="2" t="str">
        <f>CLEAN("5695-00-73")</f>
        <v>5695-00-73</v>
      </c>
      <c r="E1963" s="3" t="str">
        <f>CLEAN("TOWN OF OF WIOTA  CISSERVILLE ROAD")</f>
        <v>TOWN OF OF WIOTA  CISSERVILLE ROAD</v>
      </c>
      <c r="F1963" s="3" t="str">
        <f>CLEAN("E BRANCH PECATONICA BR B-33-0145")</f>
        <v>E BRANCH PECATONICA BR B-33-0145</v>
      </c>
      <c r="G1963" s="3" t="str">
        <f>CLEAN("CONST OPS/BRIDGE REPLACEMENT")</f>
        <v>CONST OPS/BRIDGE REPLACEMENT</v>
      </c>
      <c r="H1963" s="2" t="str">
        <f>CLEAN("LOC STR")</f>
        <v>LOC STR</v>
      </c>
      <c r="I1963" s="2" t="str">
        <f t="shared" si="313"/>
        <v>205</v>
      </c>
    </row>
    <row r="1964" spans="1:9" x14ac:dyDescent="0.35">
      <c r="A1964" s="2" t="str">
        <f t="shared" si="311"/>
        <v>LAFAYETTE</v>
      </c>
      <c r="B1964" s="2" t="str">
        <f t="shared" si="312"/>
        <v>LAFAYETTE COUNTY</v>
      </c>
      <c r="C1964" s="2" t="s">
        <v>94</v>
      </c>
      <c r="D1964" s="2" t="str">
        <f>CLEAN("5695-00-74")</f>
        <v>5695-00-74</v>
      </c>
      <c r="E1964" s="3" t="str">
        <f>CLEAN("CTH W - STH 11 (CTH I)")</f>
        <v>CTH W - STH 11 (CTH I)</v>
      </c>
      <c r="F1964" s="3" t="str">
        <f>CLEAN("ELLIS BRANCH BRIDGE B-33-0147")</f>
        <v>ELLIS BRANCH BRIDGE B-33-0147</v>
      </c>
      <c r="G1964" s="3" t="str">
        <f>CLEAN("CONST OPS/BRIDGE REPLACEMENT")</f>
        <v>CONST OPS/BRIDGE REPLACEMENT</v>
      </c>
      <c r="H1964" s="2" t="str">
        <f>CLEAN("CTH I")</f>
        <v>CTH I</v>
      </c>
      <c r="I1964" s="2" t="str">
        <f t="shared" si="313"/>
        <v>205</v>
      </c>
    </row>
    <row r="1965" spans="1:9" x14ac:dyDescent="0.35">
      <c r="A1965" s="2" t="str">
        <f t="shared" si="311"/>
        <v>LAFAYETTE</v>
      </c>
      <c r="B1965" s="2" t="str">
        <f t="shared" si="312"/>
        <v>LAFAYETTE COUNTY</v>
      </c>
      <c r="C1965" s="2" t="s">
        <v>404</v>
      </c>
      <c r="D1965" s="2" t="str">
        <f>CLEAN("5720-00-74")</f>
        <v>5720-00-74</v>
      </c>
      <c r="E1965" s="3" t="str">
        <f>CLEAN("CTH G - CTH O")</f>
        <v>CTH G - CTH O</v>
      </c>
      <c r="F1965" s="3" t="str">
        <f>CLEAN("BONNER BRANCH BRIDGE  B-33-0140")</f>
        <v>BONNER BRANCH BRIDGE  B-33-0140</v>
      </c>
      <c r="G1965" s="3" t="str">
        <f>CLEAN("CONST/BRIDGE REPLACEMENT")</f>
        <v>CONST/BRIDGE REPLACEMENT</v>
      </c>
      <c r="H1965" s="2" t="str">
        <f>CLEAN("CTH C")</f>
        <v>CTH C</v>
      </c>
      <c r="I1965" s="2" t="str">
        <f t="shared" si="313"/>
        <v>205</v>
      </c>
    </row>
    <row r="1966" spans="1:9" x14ac:dyDescent="0.35">
      <c r="A1966" s="2" t="str">
        <f t="shared" si="311"/>
        <v>LAFAYETTE</v>
      </c>
      <c r="B1966" s="2" t="str">
        <f t="shared" si="312"/>
        <v>LAFAYETTE COUNTY</v>
      </c>
      <c r="C1966" s="2" t="s">
        <v>1520</v>
      </c>
      <c r="D1966" s="2" t="str">
        <f>CLEAN("5725-00-01")</f>
        <v>5725-00-01</v>
      </c>
      <c r="E1966" s="3" t="str">
        <f>CLEAN("IL STATE LINE - STH 11 (CTH D)")</f>
        <v>IL STATE LINE - STH 11 (CTH D)</v>
      </c>
      <c r="F1966" s="3" t="str">
        <f>CLEAN("IL STATE LINE TO STH 11")</f>
        <v>IL STATE LINE TO STH 11</v>
      </c>
      <c r="G1966" s="3" t="str">
        <f>CLEAN("DESIGN - FULL PS&amp;E RECONSTRUCTION")</f>
        <v>DESIGN - FULL PS&amp;E RECONSTRUCTION</v>
      </c>
      <c r="H1966" s="2" t="str">
        <f>CLEAN("CTH D")</f>
        <v>CTH D</v>
      </c>
      <c r="I1966" s="2" t="str">
        <f>CLEAN("206")</f>
        <v>206</v>
      </c>
    </row>
    <row r="1967" spans="1:9" x14ac:dyDescent="0.35">
      <c r="A1967" s="2" t="str">
        <f t="shared" si="311"/>
        <v>LAFAYETTE</v>
      </c>
      <c r="B1967" s="2" t="str">
        <f t="shared" si="312"/>
        <v>LAFAYETTE COUNTY</v>
      </c>
      <c r="C1967" s="2" t="s">
        <v>1806</v>
      </c>
      <c r="D1967" s="2" t="str">
        <f>CLEAN("5725-00-02")</f>
        <v>5725-00-02</v>
      </c>
      <c r="E1967" s="3" t="str">
        <f>CLEAN("STH 11 - CTH N")</f>
        <v>STH 11 - CTH N</v>
      </c>
      <c r="F1967" s="3" t="str">
        <f>CLEAN("PECATONICA RIVER BRIDGE  B-33-0365")</f>
        <v>PECATONICA RIVER BRIDGE  B-33-0365</v>
      </c>
      <c r="G1967" s="3" t="str">
        <f>CLEAN("DESIGN/BRIDGE REPLACEMENT")</f>
        <v>DESIGN/BRIDGE REPLACEMENT</v>
      </c>
      <c r="H1967" s="2" t="str">
        <f>CLEAN("CTH D")</f>
        <v>CTH D</v>
      </c>
      <c r="I1967" s="2" t="str">
        <f>CLEAN("205")</f>
        <v>205</v>
      </c>
    </row>
    <row r="1968" spans="1:9" x14ac:dyDescent="0.35">
      <c r="A1968" s="2" t="str">
        <f t="shared" si="311"/>
        <v>LAFAYETTE</v>
      </c>
      <c r="B1968" s="2" t="str">
        <f t="shared" si="312"/>
        <v>LAFAYETTE COUNTY</v>
      </c>
      <c r="C1968" s="2" t="s">
        <v>246</v>
      </c>
      <c r="D1968" s="2" t="str">
        <f>CLEAN("5725-00-70")</f>
        <v>5725-00-70</v>
      </c>
      <c r="E1968" s="3" t="str">
        <f>CLEAN("IL STATE LINE - STH 11 (CTH D)")</f>
        <v>IL STATE LINE - STH 11 (CTH D)</v>
      </c>
      <c r="F1968" s="3" t="str">
        <f>CLEAN("IL STATE LINE TO STH 11")</f>
        <v>IL STATE LINE TO STH 11</v>
      </c>
      <c r="G1968" s="3" t="str">
        <f>CLEAN("CONST OPS/RECONSTRUCTION")</f>
        <v>CONST OPS/RECONSTRUCTION</v>
      </c>
      <c r="H1968" s="2" t="str">
        <f>CLEAN("CTH D")</f>
        <v>CTH D</v>
      </c>
      <c r="I1968" s="2" t="str">
        <f>CLEAN("206")</f>
        <v>206</v>
      </c>
    </row>
    <row r="1969" spans="1:9" x14ac:dyDescent="0.35">
      <c r="A1969" s="2" t="str">
        <f>CLEAN("WALWORTH")</f>
        <v>WALWORTH</v>
      </c>
      <c r="B1969" s="2" t="str">
        <f>CLEAN("LAKE GENEVA UTILITY COMMISSION")</f>
        <v>LAKE GENEVA UTILITY COMMISSION</v>
      </c>
      <c r="C1969" s="2" t="s">
        <v>1105</v>
      </c>
      <c r="D1969" s="2" t="str">
        <f>CLEAN("3170-09-81")</f>
        <v>3170-09-81</v>
      </c>
      <c r="E1969" s="3" t="str">
        <f>CLEAN("C LAKE GENEVA  W MAIN ST")</f>
        <v>C LAKE GENEVA  W MAIN ST</v>
      </c>
      <c r="F1969" s="3" t="str">
        <f>CLEAN("FOREST ST TO WELLS ST")</f>
        <v>FOREST ST TO WELLS ST</v>
      </c>
      <c r="G1969" s="3" t="str">
        <f>CLEAN("CONST/WATERMAIN")</f>
        <v>CONST/WATERMAIN</v>
      </c>
      <c r="H1969" s="2" t="str">
        <f>CLEAN("STH 050")</f>
        <v>STH 050</v>
      </c>
      <c r="I1969" s="2" t="str">
        <f>CLEAN("303")</f>
        <v>303</v>
      </c>
    </row>
    <row r="1970" spans="1:9" x14ac:dyDescent="0.35">
      <c r="A1970" s="2" t="str">
        <f>CLEAN("LANGLADE")</f>
        <v>LANGLADE</v>
      </c>
      <c r="B1970" s="2" t="str">
        <f>CLEAN("LANGLADE CO FOREST &amp; REC DEPT")</f>
        <v>LANGLADE CO FOREST &amp; REC DEPT</v>
      </c>
      <c r="C1970" s="2" t="s">
        <v>939</v>
      </c>
      <c r="D1970" s="2" t="str">
        <f>CLEAN("9140-12-81")</f>
        <v>9140-12-81</v>
      </c>
      <c r="E1970" s="3" t="str">
        <f>CLEAN("ANTIGO - LANGLADE")</f>
        <v>ANTIGO - LANGLADE</v>
      </c>
      <c r="F1970" s="3" t="str">
        <f>CLEAN("WOLF RIVER BRIDGE B-34-0061")</f>
        <v>WOLF RIVER BRIDGE B-34-0061</v>
      </c>
      <c r="G1970" s="3" t="str">
        <f>CLEAN("CONST/REPLACEMENT")</f>
        <v>CONST/REPLACEMENT</v>
      </c>
      <c r="H1970" s="2" t="str">
        <f>CLEAN("STH 064")</f>
        <v>STH 064</v>
      </c>
      <c r="I1970" s="2" t="str">
        <f>CLEAN("303")</f>
        <v>303</v>
      </c>
    </row>
    <row r="1971" spans="1:9" x14ac:dyDescent="0.35">
      <c r="A1971" s="2" t="str">
        <f>CLEAN("LANGLADE")</f>
        <v>LANGLADE</v>
      </c>
      <c r="B1971" s="2" t="str">
        <f>CLEAN("LANGLADE COUNTY")</f>
        <v>LANGLADE COUNTY</v>
      </c>
      <c r="C1971" s="2" t="s">
        <v>1708</v>
      </c>
      <c r="D1971" s="2" t="str">
        <f>CLEAN("9360-02-03")</f>
        <v>9360-02-03</v>
      </c>
      <c r="E1971" s="3" t="str">
        <f>CLEAN("USH 45 - CTH V")</f>
        <v>USH 45 - CTH V</v>
      </c>
      <c r="F1971" s="3" t="str">
        <f>CLEAN("CHILLIE ROAD TO SHIMEK LANE")</f>
        <v>CHILLIE ROAD TO SHIMEK LANE</v>
      </c>
      <c r="G1971" s="3" t="str">
        <f>CLEAN("DESIGN OVERSITE/RECONSTRUCT")</f>
        <v>DESIGN OVERSITE/RECONSTRUCT</v>
      </c>
      <c r="H1971" s="2" t="str">
        <f>CLEAN("CTH B")</f>
        <v>CTH B</v>
      </c>
      <c r="I1971" s="2" t="str">
        <f>CLEAN("206")</f>
        <v>206</v>
      </c>
    </row>
    <row r="1972" spans="1:9" x14ac:dyDescent="0.35">
      <c r="A1972" s="2" t="str">
        <f>CLEAN("LANGLADE")</f>
        <v>LANGLADE</v>
      </c>
      <c r="B1972" s="2" t="str">
        <f>CLEAN("LANGLADE COUNTY")</f>
        <v>LANGLADE COUNTY</v>
      </c>
      <c r="C1972" s="2" t="s">
        <v>761</v>
      </c>
      <c r="D1972" s="2" t="str">
        <f>CLEAN("9360-02-73")</f>
        <v>9360-02-73</v>
      </c>
      <c r="E1972" s="3" t="str">
        <f>CLEAN("USH 45 - CTH V")</f>
        <v>USH 45 - CTH V</v>
      </c>
      <c r="F1972" s="3" t="str">
        <f>CLEAN("CHILLIE ROAD TO SHIMEK LANE")</f>
        <v>CHILLIE ROAD TO SHIMEK LANE</v>
      </c>
      <c r="G1972" s="3" t="str">
        <f>CLEAN("CONST/RECONSTRUCT")</f>
        <v>CONST/RECONSTRUCT</v>
      </c>
      <c r="H1972" s="2" t="str">
        <f>CLEAN("CTH B")</f>
        <v>CTH B</v>
      </c>
      <c r="I1972" s="2" t="str">
        <f>CLEAN("206")</f>
        <v>206</v>
      </c>
    </row>
    <row r="1973" spans="1:9" x14ac:dyDescent="0.35">
      <c r="A1973" s="2" t="str">
        <f>CLEAN("LANGLADE")</f>
        <v>LANGLADE</v>
      </c>
      <c r="B1973" s="2" t="str">
        <f>CLEAN("LANGLADE COUNTY")</f>
        <v>LANGLADE COUNTY</v>
      </c>
      <c r="C1973" s="2" t="s">
        <v>1990</v>
      </c>
      <c r="D1973" s="2" t="str">
        <f>CLEAN("9371-00-00")</f>
        <v>9371-00-00</v>
      </c>
      <c r="E1973" s="3" t="str">
        <f>CLEAN("CTH J - STH 17")</f>
        <v>CTH J - STH 17</v>
      </c>
      <c r="F1973" s="3" t="str">
        <f>CLEAN("PRAIRIE RIVER BRIDGE  B-34-0006")</f>
        <v>PRAIRIE RIVER BRIDGE  B-34-0006</v>
      </c>
      <c r="G1973" s="3" t="str">
        <f>CLEAN("DESIGN/FULL PSE/REPLACEMENT")</f>
        <v>DESIGN/FULL PSE/REPLACEMENT</v>
      </c>
      <c r="H1973" s="2" t="str">
        <f>CLEAN("CTH H")</f>
        <v>CTH H</v>
      </c>
      <c r="I1973" s="2" t="str">
        <f t="shared" ref="I1973:I1978" si="315">CLEAN("205")</f>
        <v>205</v>
      </c>
    </row>
    <row r="1974" spans="1:9" x14ac:dyDescent="0.35">
      <c r="A1974" s="2" t="str">
        <f>CLEAN("LANGLADE")</f>
        <v>LANGLADE</v>
      </c>
      <c r="B1974" s="2" t="str">
        <f>CLEAN("LANGLADE COUNTY")</f>
        <v>LANGLADE COUNTY</v>
      </c>
      <c r="C1974" s="2" t="s">
        <v>919</v>
      </c>
      <c r="D1974" s="2" t="str">
        <f>CLEAN("9371-00-70")</f>
        <v>9371-00-70</v>
      </c>
      <c r="E1974" s="3" t="str">
        <f>CLEAN("CTH J - STH 17")</f>
        <v>CTH J - STH 17</v>
      </c>
      <c r="F1974" s="3" t="str">
        <f>CLEAN("PRAIRIE RIVER BRIDGE  B-34-0064")</f>
        <v>PRAIRIE RIVER BRIDGE  B-34-0064</v>
      </c>
      <c r="G1974" s="3" t="str">
        <f>CLEAN("CONST/REPLACEMENT")</f>
        <v>CONST/REPLACEMENT</v>
      </c>
      <c r="H1974" s="2" t="str">
        <f>CLEAN("CTH H")</f>
        <v>CTH H</v>
      </c>
      <c r="I1974" s="2" t="str">
        <f t="shared" si="315"/>
        <v>205</v>
      </c>
    </row>
    <row r="1975" spans="1:9" x14ac:dyDescent="0.35">
      <c r="A1975" s="2" t="str">
        <f>CLEAN("LINCOLN")</f>
        <v>LINCOLN</v>
      </c>
      <c r="B1975" s="2" t="str">
        <f>CLEAN("LINCOLN COUNTY")</f>
        <v>LINCOLN COUNTY</v>
      </c>
      <c r="C1975" s="2" t="s">
        <v>2002</v>
      </c>
      <c r="D1975" s="2" t="str">
        <f>CLEAN("9423-00-00")</f>
        <v>9423-00-00</v>
      </c>
      <c r="E1975" s="3" t="str">
        <f>CLEAN("STH 86 - CTH E")</f>
        <v>STH 86 - CTH E</v>
      </c>
      <c r="F1975" s="3" t="str">
        <f>CLEAN("SPIRIT RIVER BRIDGE  B-35-0003")</f>
        <v>SPIRIT RIVER BRIDGE  B-35-0003</v>
      </c>
      <c r="G1975" s="3" t="str">
        <f>CLEAN("DESIGN/FULL PSE/REPLACEMENT")</f>
        <v>DESIGN/FULL PSE/REPLACEMENT</v>
      </c>
      <c r="H1975" s="2" t="str">
        <f>CLEAN("CTH O")</f>
        <v>CTH O</v>
      </c>
      <c r="I1975" s="2" t="str">
        <f t="shared" si="315"/>
        <v>205</v>
      </c>
    </row>
    <row r="1976" spans="1:9" x14ac:dyDescent="0.35">
      <c r="A1976" s="2" t="str">
        <f>CLEAN("LINCOLN")</f>
        <v>LINCOLN</v>
      </c>
      <c r="B1976" s="2" t="str">
        <f>CLEAN("LINCOLN COUNTY")</f>
        <v>LINCOLN COUNTY</v>
      </c>
      <c r="C1976" s="2" t="s">
        <v>930</v>
      </c>
      <c r="D1976" s="2" t="str">
        <f>CLEAN("9423-00-70")</f>
        <v>9423-00-70</v>
      </c>
      <c r="E1976" s="3" t="str">
        <f>CLEAN("STH 86 - CTH E")</f>
        <v>STH 86 - CTH E</v>
      </c>
      <c r="F1976" s="3" t="str">
        <f>CLEAN("SPIRIT RIVER BRIDGE  B-35-0162")</f>
        <v>SPIRIT RIVER BRIDGE  B-35-0162</v>
      </c>
      <c r="G1976" s="3" t="str">
        <f>CLEAN("CONST/REPLACEMENT")</f>
        <v>CONST/REPLACEMENT</v>
      </c>
      <c r="H1976" s="2" t="str">
        <f>CLEAN("CTH O")</f>
        <v>CTH O</v>
      </c>
      <c r="I1976" s="2" t="str">
        <f t="shared" si="315"/>
        <v>205</v>
      </c>
    </row>
    <row r="1977" spans="1:9" x14ac:dyDescent="0.35">
      <c r="A1977" s="2" t="str">
        <f>CLEAN("LINCOLN")</f>
        <v>LINCOLN</v>
      </c>
      <c r="B1977" s="2" t="str">
        <f>CLEAN("LINCOLN COUNTY")</f>
        <v>LINCOLN COUNTY</v>
      </c>
      <c r="C1977" s="2" t="s">
        <v>1955</v>
      </c>
      <c r="D1977" s="2" t="str">
        <f>CLEAN("9426-00-00")</f>
        <v>9426-00-00</v>
      </c>
      <c r="E1977" s="3" t="str">
        <f>CLEAN("STH 86 - ONEIDA COUNTY LINE")</f>
        <v>STH 86 - ONEIDA COUNTY LINE</v>
      </c>
      <c r="F1977" s="3" t="str">
        <f>CLEAN("BIG SOMO RIVER BRIDGE  P-35-0044")</f>
        <v>BIG SOMO RIVER BRIDGE  P-35-0044</v>
      </c>
      <c r="G1977" s="3" t="str">
        <f>CLEAN("DESIGN/FULL PSE/REPLACEMENT")</f>
        <v>DESIGN/FULL PSE/REPLACEMENT</v>
      </c>
      <c r="H1977" s="2" t="str">
        <f>CLEAN("CTH T")</f>
        <v>CTH T</v>
      </c>
      <c r="I1977" s="2" t="str">
        <f t="shared" si="315"/>
        <v>205</v>
      </c>
    </row>
    <row r="1978" spans="1:9" x14ac:dyDescent="0.35">
      <c r="A1978" s="2" t="str">
        <f>CLEAN("LINCOLN")</f>
        <v>LINCOLN</v>
      </c>
      <c r="B1978" s="2" t="str">
        <f>CLEAN("LINCOLN COUNTY")</f>
        <v>LINCOLN COUNTY</v>
      </c>
      <c r="C1978" s="2" t="s">
        <v>899</v>
      </c>
      <c r="D1978" s="2" t="str">
        <f>CLEAN("9431-00-70")</f>
        <v>9431-00-70</v>
      </c>
      <c r="E1978" s="3" t="str">
        <f>CLEAN("T PINE RIVER  CTH X")</f>
        <v>T PINE RIVER  CTH X</v>
      </c>
      <c r="F1978" s="3" t="str">
        <f>CLEAN("LITTLE OXBO CREEK BRIDGE B-35-0159")</f>
        <v>LITTLE OXBO CREEK BRIDGE B-35-0159</v>
      </c>
      <c r="G1978" s="3" t="str">
        <f>CLEAN("CONST/REPLACEMENT")</f>
        <v>CONST/REPLACEMENT</v>
      </c>
      <c r="H1978" s="2" t="str">
        <f>CLEAN("CTH X")</f>
        <v>CTH X</v>
      </c>
      <c r="I1978" s="2" t="str">
        <f t="shared" si="315"/>
        <v>205</v>
      </c>
    </row>
    <row r="1979" spans="1:9" x14ac:dyDescent="0.35">
      <c r="A1979" s="2" t="str">
        <f>CLEAN("WALWORTH")</f>
        <v>WALWORTH</v>
      </c>
      <c r="B1979" s="2" t="str">
        <f>CLEAN("Lyons Sanitary District No 2")</f>
        <v>Lyons Sanitary District No 2</v>
      </c>
      <c r="C1979" s="2" t="s">
        <v>986</v>
      </c>
      <c r="D1979" s="2" t="str">
        <f>CLEAN("3190-11-70")</f>
        <v>3190-11-70</v>
      </c>
      <c r="E1979" s="3" t="str">
        <f>CLEAN("SPRINGFIELD TO BURLINGTON")</f>
        <v>SPRINGFIELD TO BURLINGTON</v>
      </c>
      <c r="F1979" s="3" t="str">
        <f>CLEAN("STH 120 TO STH 11")</f>
        <v>STH 120 TO STH 11</v>
      </c>
      <c r="G1979" s="3" t="str">
        <f>CLEAN("CONST/RESURFACE")</f>
        <v>CONST/RESURFACE</v>
      </c>
      <c r="H1979" s="2" t="str">
        <f>CLEAN("STH 036")</f>
        <v>STH 036</v>
      </c>
      <c r="I1979" s="2" t="str">
        <f>CLEAN("303")</f>
        <v>303</v>
      </c>
    </row>
    <row r="1980" spans="1:9" x14ac:dyDescent="0.35">
      <c r="A1980" s="2" t="str">
        <f>CLEAN("DANE")</f>
        <v>DANE</v>
      </c>
      <c r="B1980" s="2" t="str">
        <f>CLEAN("MADISON METROPOLITAN SEWERAGE DISTRICT")</f>
        <v>MADISON METROPOLITAN SEWERAGE DISTRICT</v>
      </c>
      <c r="C1980" s="2" t="s">
        <v>363</v>
      </c>
      <c r="D1980" s="2" t="str">
        <f>CLEAN("5845-16-77")</f>
        <v>5845-16-77</v>
      </c>
      <c r="E1980" s="3" t="str">
        <f>CLEAN("STOUGHTON - MADISON")</f>
        <v>STOUGHTON - MADISON</v>
      </c>
      <c r="F1980" s="3" t="str">
        <f>CLEAN("LARSON BEACH RD TO VOGES RD")</f>
        <v>LARSON BEACH RD TO VOGES RD</v>
      </c>
      <c r="G1980" s="3" t="str">
        <f>CLEAN("CONST/B-13-386 387 388 899/RECST")</f>
        <v>CONST/B-13-386 387 388 899/RECST</v>
      </c>
      <c r="H1980" s="2" t="str">
        <f>CLEAN("USH 051")</f>
        <v>USH 051</v>
      </c>
      <c r="I1980" s="2" t="str">
        <f>CLEAN("302")</f>
        <v>302</v>
      </c>
    </row>
    <row r="1981" spans="1:9" x14ac:dyDescent="0.35">
      <c r="A1981" s="2" t="str">
        <f>CLEAN("DANE")</f>
        <v>DANE</v>
      </c>
      <c r="B1981" s="2" t="str">
        <f>CLEAN("MADISON METROPOLITAN SEWERAGE DISTRICT")</f>
        <v>MADISON METROPOLITAN SEWERAGE DISTRICT</v>
      </c>
      <c r="C1981" s="2" t="s">
        <v>348</v>
      </c>
      <c r="D1981" s="2" t="str">
        <f>CLEAN("5845-16-87")</f>
        <v>5845-16-87</v>
      </c>
      <c r="E1981" s="3" t="str">
        <f>CLEAN("STOUGHTON - MADISON")</f>
        <v>STOUGHTON - MADISON</v>
      </c>
      <c r="F1981" s="3" t="str">
        <f>CLEAN("EXCHANGE ST TO LARSON BEACH RD")</f>
        <v>EXCHANGE ST TO LARSON BEACH RD</v>
      </c>
      <c r="G1981" s="3" t="str">
        <f>CLEAN("CONST/ MMSD SANITARY VAULT/ RECST")</f>
        <v>CONST/ MMSD SANITARY VAULT/ RECST</v>
      </c>
      <c r="H1981" s="2" t="str">
        <f>CLEAN("USH 051")</f>
        <v>USH 051</v>
      </c>
      <c r="I1981" s="2" t="str">
        <f>CLEAN("302")</f>
        <v>302</v>
      </c>
    </row>
    <row r="1982" spans="1:9" x14ac:dyDescent="0.35">
      <c r="A1982" s="2" t="str">
        <f t="shared" ref="A1982:A1990" si="316">CLEAN("MANITOWOC")</f>
        <v>MANITOWOC</v>
      </c>
      <c r="B1982" s="2" t="str">
        <f t="shared" ref="B1982:B1990" si="317">CLEAN("MANITOWOC COUNTY")</f>
        <v>MANITOWOC COUNTY</v>
      </c>
      <c r="C1982" s="2" t="s">
        <v>296</v>
      </c>
      <c r="D1982" s="2" t="str">
        <f>CLEAN("1227-12-73")</f>
        <v>1227-12-73</v>
      </c>
      <c r="E1982" s="3" t="str">
        <f>CLEAN("MANITOWOC-GREEN BAY")</f>
        <v>MANITOWOC-GREEN BAY</v>
      </c>
      <c r="F1982" s="3" t="str">
        <f>CLEAN("PLEASANT RD - CTH R")</f>
        <v>PLEASANT RD - CTH R</v>
      </c>
      <c r="G1982" s="3" t="str">
        <f>CLEAN("CONST OPS/RSRF")</f>
        <v>CONST OPS/RSRF</v>
      </c>
      <c r="H1982" s="2" t="str">
        <f>CLEAN("CTH Z")</f>
        <v>CTH Z</v>
      </c>
      <c r="I1982" s="2" t="str">
        <f>CLEAN("303")</f>
        <v>303</v>
      </c>
    </row>
    <row r="1983" spans="1:9" x14ac:dyDescent="0.35">
      <c r="A1983" s="2" t="str">
        <f t="shared" si="316"/>
        <v>MANITOWOC</v>
      </c>
      <c r="B1983" s="2" t="str">
        <f t="shared" si="317"/>
        <v>MANITOWOC COUNTY</v>
      </c>
      <c r="C1983" s="2" t="s">
        <v>2372</v>
      </c>
      <c r="D1983" s="2" t="str">
        <f>CLEAN("4008-02-00")</f>
        <v>4008-02-00</v>
      </c>
      <c r="E1983" s="3" t="str">
        <f>CLEAN("V CLEVELAND  CTH XX")</f>
        <v>V CLEVELAND  CTH XX</v>
      </c>
      <c r="F1983" s="3" t="str">
        <f>CLEAN("BRANCH OF CENTERVILLE CREEK BRIDGE")</f>
        <v>BRANCH OF CENTERVILLE CREEK BRIDGE</v>
      </c>
      <c r="G1983" s="3" t="str">
        <f>CLEAN("DSGN/FULL PSE/BRRPL/B-36-0913")</f>
        <v>DSGN/FULL PSE/BRRPL/B-36-0913</v>
      </c>
      <c r="H1983" s="2" t="str">
        <f>CLEAN("CTH XX")</f>
        <v>CTH XX</v>
      </c>
      <c r="I1983" s="2" t="str">
        <f>CLEAN("205")</f>
        <v>205</v>
      </c>
    </row>
    <row r="1984" spans="1:9" x14ac:dyDescent="0.35">
      <c r="A1984" s="2" t="str">
        <f t="shared" si="316"/>
        <v>MANITOWOC</v>
      </c>
      <c r="B1984" s="2" t="str">
        <f t="shared" si="317"/>
        <v>MANITOWOC COUNTY</v>
      </c>
      <c r="C1984" s="2" t="s">
        <v>169</v>
      </c>
      <c r="D1984" s="2" t="str">
        <f>CLEAN("4008-02-70")</f>
        <v>4008-02-70</v>
      </c>
      <c r="E1984" s="3" t="str">
        <f>CLEAN("V CLEVELAND  CTH XX")</f>
        <v>V CLEVELAND  CTH XX</v>
      </c>
      <c r="F1984" s="3" t="str">
        <f>CLEAN("BRANCH OF CENTERVILLE CREEK BRIDGE")</f>
        <v>BRANCH OF CENTERVILLE CREEK BRIDGE</v>
      </c>
      <c r="G1984" s="3" t="str">
        <f>CLEAN("CONST OPS/BRRPL/B360256")</f>
        <v>CONST OPS/BRRPL/B360256</v>
      </c>
      <c r="H1984" s="2" t="str">
        <f>CLEAN("CTH XX")</f>
        <v>CTH XX</v>
      </c>
      <c r="I1984" s="2" t="str">
        <f>CLEAN("205")</f>
        <v>205</v>
      </c>
    </row>
    <row r="1985" spans="1:9" x14ac:dyDescent="0.35">
      <c r="A1985" s="2" t="str">
        <f t="shared" si="316"/>
        <v>MANITOWOC</v>
      </c>
      <c r="B1985" s="2" t="str">
        <f t="shared" si="317"/>
        <v>MANITOWOC COUNTY</v>
      </c>
      <c r="C1985" s="2" t="s">
        <v>2405</v>
      </c>
      <c r="D1985" s="2" t="str">
        <f>CLEAN("4008-03-00")</f>
        <v>4008-03-00</v>
      </c>
      <c r="E1985" s="3" t="str">
        <f>CLEAN("V CLEVELAND  CTH XX")</f>
        <v>V CLEVELAND  CTH XX</v>
      </c>
      <c r="F1985" s="3" t="str">
        <f>CLEAN("CTH DL TO CENTER ROAD")</f>
        <v>CTH DL TO CENTER ROAD</v>
      </c>
      <c r="G1985" s="3" t="str">
        <f>CLEAN("DSGN/FULL PSE/RECST")</f>
        <v>DSGN/FULL PSE/RECST</v>
      </c>
      <c r="H1985" s="2" t="str">
        <f>CLEAN("CTH XX")</f>
        <v>CTH XX</v>
      </c>
      <c r="I1985" s="2" t="str">
        <f>CLEAN("206")</f>
        <v>206</v>
      </c>
    </row>
    <row r="1986" spans="1:9" x14ac:dyDescent="0.35">
      <c r="A1986" s="2" t="str">
        <f t="shared" si="316"/>
        <v>MANITOWOC</v>
      </c>
      <c r="B1986" s="2" t="str">
        <f t="shared" si="317"/>
        <v>MANITOWOC COUNTY</v>
      </c>
      <c r="C1986" s="2" t="s">
        <v>2370</v>
      </c>
      <c r="D1986" s="2" t="str">
        <f>CLEAN("4311-09-00")</f>
        <v>4311-09-00</v>
      </c>
      <c r="E1986" s="3" t="str">
        <f>CLEAN("T KOSSUTH  OLD HIGHWAY Q")</f>
        <v>T KOSSUTH  OLD HIGHWAY Q</v>
      </c>
      <c r="F1986" s="3" t="str">
        <f>CLEAN("BRANCH OF W TWIN RIVER BRIDGE")</f>
        <v>BRANCH OF W TWIN RIVER BRIDGE</v>
      </c>
      <c r="G1986" s="3" t="str">
        <f>CLEAN("DSGN/FULL PSE/BRRPL P-36-0068")</f>
        <v>DSGN/FULL PSE/BRRPL P-36-0068</v>
      </c>
      <c r="H1986" s="2" t="str">
        <f>CLEAN("LOC STR")</f>
        <v>LOC STR</v>
      </c>
      <c r="I1986" s="2" t="str">
        <f>CLEAN("205")</f>
        <v>205</v>
      </c>
    </row>
    <row r="1987" spans="1:9" x14ac:dyDescent="0.35">
      <c r="A1987" s="2" t="str">
        <f t="shared" si="316"/>
        <v>MANITOWOC</v>
      </c>
      <c r="B1987" s="2" t="str">
        <f t="shared" si="317"/>
        <v>MANITOWOC COUNTY</v>
      </c>
      <c r="C1987" s="2" t="s">
        <v>2354</v>
      </c>
      <c r="D1987" s="2" t="str">
        <f>CLEAN("4312-09-00")</f>
        <v>4312-09-00</v>
      </c>
      <c r="E1987" s="3" t="str">
        <f>CLEAN("T GIBSON  ROCKLEDGE ROAD")</f>
        <v>T GIBSON  ROCKLEDGE ROAD</v>
      </c>
      <c r="F1987" s="3" t="str">
        <f>CLEAN("EAST TWIN RIVER BRIDGE")</f>
        <v>EAST TWIN RIVER BRIDGE</v>
      </c>
      <c r="G1987" s="3" t="str">
        <f>CLEAN("DSGN/FULL PSE/BRRPL")</f>
        <v>DSGN/FULL PSE/BRRPL</v>
      </c>
      <c r="H1987" s="2" t="str">
        <f>CLEAN("LOC STR")</f>
        <v>LOC STR</v>
      </c>
      <c r="I1987" s="2" t="str">
        <f>CLEAN("205")</f>
        <v>205</v>
      </c>
    </row>
    <row r="1988" spans="1:9" x14ac:dyDescent="0.35">
      <c r="A1988" s="2" t="str">
        <f t="shared" si="316"/>
        <v>MANITOWOC</v>
      </c>
      <c r="B1988" s="2" t="str">
        <f t="shared" si="317"/>
        <v>MANITOWOC COUNTY</v>
      </c>
      <c r="C1988" s="2" t="s">
        <v>168</v>
      </c>
      <c r="D1988" s="2" t="str">
        <f>CLEAN("4312-09-71")</f>
        <v>4312-09-71</v>
      </c>
      <c r="E1988" s="3" t="str">
        <f>CLEAN("T GIBSON  ROCKLEDGE ROAD")</f>
        <v>T GIBSON  ROCKLEDGE ROAD</v>
      </c>
      <c r="F1988" s="3" t="str">
        <f>CLEAN("EAST TWIN RIVER BRIDGE")</f>
        <v>EAST TWIN RIVER BRIDGE</v>
      </c>
      <c r="G1988" s="3" t="str">
        <f>CLEAN("CONST OPS/BRRPL/B360252")</f>
        <v>CONST OPS/BRRPL/B360252</v>
      </c>
      <c r="H1988" s="2" t="str">
        <f>CLEAN("LOC STR")</f>
        <v>LOC STR</v>
      </c>
      <c r="I1988" s="2" t="str">
        <f>CLEAN("205")</f>
        <v>205</v>
      </c>
    </row>
    <row r="1989" spans="1:9" x14ac:dyDescent="0.35">
      <c r="A1989" s="2" t="str">
        <f t="shared" si="316"/>
        <v>MANITOWOC</v>
      </c>
      <c r="B1989" s="2" t="str">
        <f t="shared" si="317"/>
        <v>MANITOWOC COUNTY</v>
      </c>
      <c r="C1989" s="2" t="s">
        <v>2343</v>
      </c>
      <c r="D1989" s="2" t="str">
        <f>CLEAN("4348-05-00")</f>
        <v>4348-05-00</v>
      </c>
      <c r="E1989" s="3" t="str">
        <f>CLEAN("T ROCKLAND  CTH JJ")</f>
        <v>T ROCKLAND  CTH JJ</v>
      </c>
      <c r="F1989" s="3" t="str">
        <f>CLEAN("MANITOWOC RIVER BRIDGE")</f>
        <v>MANITOWOC RIVER BRIDGE</v>
      </c>
      <c r="G1989" s="3" t="str">
        <f>CLEAN("DSGN/BRRPL B-36-0019")</f>
        <v>DSGN/BRRPL B-36-0019</v>
      </c>
      <c r="H1989" s="2" t="str">
        <f>CLEAN("CTH JJ")</f>
        <v>CTH JJ</v>
      </c>
      <c r="I1989" s="2" t="str">
        <f>CLEAN("205")</f>
        <v>205</v>
      </c>
    </row>
    <row r="1990" spans="1:9" x14ac:dyDescent="0.35">
      <c r="A1990" s="2" t="str">
        <f t="shared" si="316"/>
        <v>MANITOWOC</v>
      </c>
      <c r="B1990" s="2" t="str">
        <f t="shared" si="317"/>
        <v>MANITOWOC COUNTY</v>
      </c>
      <c r="C1990" s="2" t="s">
        <v>2381</v>
      </c>
      <c r="D1990" s="2" t="str">
        <f>CLEAN("4352-02-00")</f>
        <v>4352-02-00</v>
      </c>
      <c r="E1990" s="3" t="str">
        <f>CLEAN("SHEBOYGAN - MANITOWOC")</f>
        <v>SHEBOYGAN - MANITOWOC</v>
      </c>
      <c r="F1990" s="3" t="str">
        <f>CLEAN("BEECH STREET - PHEASANT DRIVE")</f>
        <v>BEECH STREET - PHEASANT DRIVE</v>
      </c>
      <c r="G1990" s="3" t="str">
        <f>CLEAN("DSGN/FULL PSE/MISC")</f>
        <v>DSGN/FULL PSE/MISC</v>
      </c>
      <c r="H1990" s="2" t="str">
        <f>CLEAN("CTH LS")</f>
        <v>CTH LS</v>
      </c>
      <c r="I1990" s="2" t="str">
        <f>CLEAN("206")</f>
        <v>206</v>
      </c>
    </row>
    <row r="1991" spans="1:9" x14ac:dyDescent="0.35">
      <c r="A1991" s="2" t="str">
        <f t="shared" ref="A1991:A2029" si="318">CLEAN("MARATHON")</f>
        <v>MARATHON</v>
      </c>
      <c r="B1991" s="2" t="str">
        <f t="shared" ref="B1991:B2029" si="319">CLEAN("MARATHON COUNTY")</f>
        <v>MARATHON COUNTY</v>
      </c>
      <c r="C1991" s="2" t="s">
        <v>1698</v>
      </c>
      <c r="D1991" s="2" t="str">
        <f>CLEAN("6659-02-01")</f>
        <v>6659-02-01</v>
      </c>
      <c r="E1991" s="3" t="str">
        <f>CLEAN("STH 29 - STH 52")</f>
        <v>STH 29 - STH 52</v>
      </c>
      <c r="F1991" s="3" t="str">
        <f>CLEAN("STERNBERG AVE TO EAU CLAIRE AVE")</f>
        <v>STERNBERG AVE TO EAU CLAIRE AVE</v>
      </c>
      <c r="G1991" s="3" t="str">
        <f>CLEAN("DESIGN OVERSITE")</f>
        <v>DESIGN OVERSITE</v>
      </c>
      <c r="H1991" s="2" t="str">
        <f>CLEAN("CTH X")</f>
        <v>CTH X</v>
      </c>
      <c r="I1991" s="2" t="str">
        <f>CLEAN("206")</f>
        <v>206</v>
      </c>
    </row>
    <row r="1992" spans="1:9" x14ac:dyDescent="0.35">
      <c r="A1992" s="2" t="str">
        <f t="shared" si="318"/>
        <v>MARATHON</v>
      </c>
      <c r="B1992" s="2" t="str">
        <f t="shared" si="319"/>
        <v>MARATHON COUNTY</v>
      </c>
      <c r="C1992" s="2" t="s">
        <v>1945</v>
      </c>
      <c r="D1992" s="2" t="str">
        <f>CLEAN("6666-03-01")</f>
        <v>6666-03-01</v>
      </c>
      <c r="E1992" s="3" t="str">
        <f>CLEAN("CTH C - FENWOOD")</f>
        <v>CTH C - FENWOOD</v>
      </c>
      <c r="F1992" s="3" t="str">
        <f>CLEAN("BIG EAU PLEINE RIVER  B-37-0171")</f>
        <v>BIG EAU PLEINE RIVER  B-37-0171</v>
      </c>
      <c r="G1992" s="3" t="str">
        <f>CLEAN("DESIGN/FULL PSE/REHAB")</f>
        <v>DESIGN/FULL PSE/REHAB</v>
      </c>
      <c r="H1992" s="2" t="str">
        <f>CLEAN("CTH M")</f>
        <v>CTH M</v>
      </c>
      <c r="I1992" s="2" t="str">
        <f t="shared" ref="I1992:I1999" si="320">CLEAN("205")</f>
        <v>205</v>
      </c>
    </row>
    <row r="1993" spans="1:9" x14ac:dyDescent="0.35">
      <c r="A1993" s="2" t="str">
        <f t="shared" si="318"/>
        <v>MARATHON</v>
      </c>
      <c r="B1993" s="2" t="str">
        <f t="shared" si="319"/>
        <v>MARATHON COUNTY</v>
      </c>
      <c r="C1993" s="2" t="s">
        <v>2006</v>
      </c>
      <c r="D1993" s="2" t="str">
        <f>CLEAN("9471-04-03")</f>
        <v>9471-04-03</v>
      </c>
      <c r="E1993" s="3" t="str">
        <f>CLEAN("STH 52 - CTH G")</f>
        <v>STH 52 - CTH G</v>
      </c>
      <c r="F1993" s="3" t="str">
        <f>CLEAN("TRAPPE RIVER BRIDGE  B-37-0102")</f>
        <v>TRAPPE RIVER BRIDGE  B-37-0102</v>
      </c>
      <c r="G1993" s="3" t="str">
        <f>CLEAN("DESIGN/FULL PSE/REPLACEMENT")</f>
        <v>DESIGN/FULL PSE/REPLACEMENT</v>
      </c>
      <c r="H1993" s="2" t="str">
        <f>CLEAN("CTH J")</f>
        <v>CTH J</v>
      </c>
      <c r="I1993" s="2" t="str">
        <f t="shared" si="320"/>
        <v>205</v>
      </c>
    </row>
    <row r="1994" spans="1:9" x14ac:dyDescent="0.35">
      <c r="A1994" s="2" t="str">
        <f t="shared" si="318"/>
        <v>MARATHON</v>
      </c>
      <c r="B1994" s="2" t="str">
        <f t="shared" si="319"/>
        <v>MARATHON COUNTY</v>
      </c>
      <c r="C1994" s="2" t="s">
        <v>1721</v>
      </c>
      <c r="D1994" s="2" t="str">
        <f>CLEAN("9478-03-01")</f>
        <v>9478-03-01</v>
      </c>
      <c r="E1994" s="3" t="str">
        <f>CLEAN("STH 107 - CTH O")</f>
        <v>STH 107 - CTH O</v>
      </c>
      <c r="F1994" s="3" t="str">
        <f>CLEAN("LITTLE RIB RIVER BRIDGE  B-37-0038")</f>
        <v>LITTLE RIB RIVER BRIDGE  B-37-0038</v>
      </c>
      <c r="G1994" s="3" t="str">
        <f>CLEAN("DESIGN OVERSITE/REPLACEMENT")</f>
        <v>DESIGN OVERSITE/REPLACEMENT</v>
      </c>
      <c r="H1994" s="2" t="str">
        <f>CLEAN("CTH L")</f>
        <v>CTH L</v>
      </c>
      <c r="I1994" s="2" t="str">
        <f t="shared" si="320"/>
        <v>205</v>
      </c>
    </row>
    <row r="1995" spans="1:9" x14ac:dyDescent="0.35">
      <c r="A1995" s="2" t="str">
        <f t="shared" si="318"/>
        <v>MARATHON</v>
      </c>
      <c r="B1995" s="2" t="str">
        <f t="shared" si="319"/>
        <v>MARATHON COUNTY</v>
      </c>
      <c r="C1995" s="2" t="s">
        <v>1951</v>
      </c>
      <c r="D1995" s="2" t="str">
        <f>CLEAN("6652-01-00")</f>
        <v>6652-01-00</v>
      </c>
      <c r="E1995" s="3" t="str">
        <f>CLEAN("CTH F - CTH E")</f>
        <v>CTH F - CTH E</v>
      </c>
      <c r="F1995" s="3" t="str">
        <f>CLEAN("BIG EAU PLEINE RVR BRIDGE B-37-0044")</f>
        <v>BIG EAU PLEINE RVR BRIDGE B-37-0044</v>
      </c>
      <c r="G1995" s="3" t="str">
        <f>CLEAN("DESIGN/FULL PSE/REPLACEMENT")</f>
        <v>DESIGN/FULL PSE/REPLACEMENT</v>
      </c>
      <c r="H1995" s="2" t="str">
        <f>CLEAN("CTH P")</f>
        <v>CTH P</v>
      </c>
      <c r="I1995" s="2" t="str">
        <f t="shared" si="320"/>
        <v>205</v>
      </c>
    </row>
    <row r="1996" spans="1:9" x14ac:dyDescent="0.35">
      <c r="A1996" s="2" t="str">
        <f t="shared" si="318"/>
        <v>MARATHON</v>
      </c>
      <c r="B1996" s="2" t="str">
        <f t="shared" si="319"/>
        <v>MARATHON COUNTY</v>
      </c>
      <c r="C1996" s="2" t="s">
        <v>879</v>
      </c>
      <c r="D1996" s="2" t="str">
        <f>CLEAN("6652-01-70")</f>
        <v>6652-01-70</v>
      </c>
      <c r="E1996" s="3" t="str">
        <f>CLEAN("CTH F - CTH E")</f>
        <v>CTH F - CTH E</v>
      </c>
      <c r="F1996" s="3" t="str">
        <f>CLEAN("BIG EAU PLEINE RVR BRIDGE B-37-0481")</f>
        <v>BIG EAU PLEINE RVR BRIDGE B-37-0481</v>
      </c>
      <c r="G1996" s="3" t="str">
        <f>CLEAN("CONST/REPLACEMENT")</f>
        <v>CONST/REPLACEMENT</v>
      </c>
      <c r="H1996" s="2" t="str">
        <f>CLEAN("CTH P")</f>
        <v>CTH P</v>
      </c>
      <c r="I1996" s="2" t="str">
        <f t="shared" si="320"/>
        <v>205</v>
      </c>
    </row>
    <row r="1997" spans="1:9" x14ac:dyDescent="0.35">
      <c r="A1997" s="2" t="str">
        <f t="shared" si="318"/>
        <v>MARATHON</v>
      </c>
      <c r="B1997" s="2" t="str">
        <f t="shared" si="319"/>
        <v>MARATHON COUNTY</v>
      </c>
      <c r="C1997" s="2" t="s">
        <v>1967</v>
      </c>
      <c r="D1997" s="2" t="str">
        <f>CLEAN("6652-03-00")</f>
        <v>6652-03-00</v>
      </c>
      <c r="E1997" s="3" t="str">
        <f>CLEAN("UNITY - FENWOOD")</f>
        <v>UNITY - FENWOOD</v>
      </c>
      <c r="F1997" s="3" t="str">
        <f>CLEAN("FENWOOD CREEK BRIDGE  B-37-0049")</f>
        <v>FENWOOD CREEK BRIDGE  B-37-0049</v>
      </c>
      <c r="G1997" s="3" t="str">
        <f>CLEAN("DESIGN/FULL PSE/REPLACEMENT")</f>
        <v>DESIGN/FULL PSE/REPLACEMENT</v>
      </c>
      <c r="H1997" s="2" t="str">
        <f>CLEAN("CTH P")</f>
        <v>CTH P</v>
      </c>
      <c r="I1997" s="2" t="str">
        <f t="shared" si="320"/>
        <v>205</v>
      </c>
    </row>
    <row r="1998" spans="1:9" x14ac:dyDescent="0.35">
      <c r="A1998" s="2" t="str">
        <f t="shared" si="318"/>
        <v>MARATHON</v>
      </c>
      <c r="B1998" s="2" t="str">
        <f t="shared" si="319"/>
        <v>MARATHON COUNTY</v>
      </c>
      <c r="C1998" s="2" t="s">
        <v>892</v>
      </c>
      <c r="D1998" s="2" t="str">
        <f>CLEAN("6652-03-70")</f>
        <v>6652-03-70</v>
      </c>
      <c r="E1998" s="3" t="str">
        <f>CLEAN("UNITY - FENWOOD")</f>
        <v>UNITY - FENWOOD</v>
      </c>
      <c r="F1998" s="3" t="str">
        <f>CLEAN("FENWOOD CREEK BRIDGE  B-37-0486")</f>
        <v>FENWOOD CREEK BRIDGE  B-37-0486</v>
      </c>
      <c r="G1998" s="3" t="str">
        <f>CLEAN("CONST/REPLACEMENT")</f>
        <v>CONST/REPLACEMENT</v>
      </c>
      <c r="H1998" s="2" t="str">
        <f>CLEAN("CTH P")</f>
        <v>CTH P</v>
      </c>
      <c r="I1998" s="2" t="str">
        <f t="shared" si="320"/>
        <v>205</v>
      </c>
    </row>
    <row r="1999" spans="1:9" x14ac:dyDescent="0.35">
      <c r="A1999" s="2" t="str">
        <f t="shared" si="318"/>
        <v>MARATHON</v>
      </c>
      <c r="B1999" s="2" t="str">
        <f t="shared" si="319"/>
        <v>MARATHON COUNTY</v>
      </c>
      <c r="C1999" s="2" t="s">
        <v>1722</v>
      </c>
      <c r="D1999" s="2" t="str">
        <f>CLEAN("6653-00-02")</f>
        <v>6653-00-02</v>
      </c>
      <c r="E1999" s="3" t="str">
        <f>CLEAN("CTH J - CTH Y")</f>
        <v>CTH J - CTH Y</v>
      </c>
      <c r="F1999" s="3" t="str">
        <f>CLEAN("PLOVER RIVER BRIDGE  B-37-0016")</f>
        <v>PLOVER RIVER BRIDGE  B-37-0016</v>
      </c>
      <c r="G1999" s="3" t="str">
        <f>CLEAN("DESIGN OVERSITE/REPLACEMENT")</f>
        <v>DESIGN OVERSITE/REPLACEMENT</v>
      </c>
      <c r="H1999" s="2" t="str">
        <f>CLEAN("CTH C")</f>
        <v>CTH C</v>
      </c>
      <c r="I1999" s="2" t="str">
        <f t="shared" si="320"/>
        <v>205</v>
      </c>
    </row>
    <row r="2000" spans="1:9" x14ac:dyDescent="0.35">
      <c r="A2000" s="2" t="str">
        <f t="shared" si="318"/>
        <v>MARATHON</v>
      </c>
      <c r="B2000" s="2" t="str">
        <f t="shared" si="319"/>
        <v>MARATHON COUNTY</v>
      </c>
      <c r="C2000" s="2" t="s">
        <v>715</v>
      </c>
      <c r="D2000" s="2" t="str">
        <f>CLEAN("6653-00-71")</f>
        <v>6653-00-71</v>
      </c>
      <c r="E2000" s="3" t="str">
        <f>CLEAN("CTH J - STH 49")</f>
        <v>CTH J - STH 49</v>
      </c>
      <c r="F2000" s="3" t="str">
        <f>CLEAN("CTH J TO CTH I")</f>
        <v>CTH J TO CTH I</v>
      </c>
      <c r="G2000" s="3" t="str">
        <f>CLEAN("CONST/PVRPLA")</f>
        <v>CONST/PVRPLA</v>
      </c>
      <c r="H2000" s="2" t="str">
        <f>CLEAN("CTH C")</f>
        <v>CTH C</v>
      </c>
      <c r="I2000" s="2" t="str">
        <f>CLEAN("206")</f>
        <v>206</v>
      </c>
    </row>
    <row r="2001" spans="1:9" x14ac:dyDescent="0.35">
      <c r="A2001" s="2" t="str">
        <f t="shared" si="318"/>
        <v>MARATHON</v>
      </c>
      <c r="B2001" s="2" t="str">
        <f t="shared" si="319"/>
        <v>MARATHON COUNTY</v>
      </c>
      <c r="C2001" s="2" t="s">
        <v>916</v>
      </c>
      <c r="D2001" s="2" t="str">
        <f>CLEAN("6653-00-72")</f>
        <v>6653-00-72</v>
      </c>
      <c r="E2001" s="3" t="str">
        <f>CLEAN("CTH J - CTH Y")</f>
        <v>CTH J - CTH Y</v>
      </c>
      <c r="F2001" s="3" t="str">
        <f>CLEAN("PLOVER RIVER BRIDGE  B-37-0468")</f>
        <v>PLOVER RIVER BRIDGE  B-37-0468</v>
      </c>
      <c r="G2001" s="3" t="str">
        <f>CLEAN("CONST/REPLACEMENT")</f>
        <v>CONST/REPLACEMENT</v>
      </c>
      <c r="H2001" s="2" t="str">
        <f>CLEAN("CTH C")</f>
        <v>CTH C</v>
      </c>
      <c r="I2001" s="2" t="str">
        <f t="shared" ref="I2001:I2007" si="321">CLEAN("205")</f>
        <v>205</v>
      </c>
    </row>
    <row r="2002" spans="1:9" x14ac:dyDescent="0.35">
      <c r="A2002" s="2" t="str">
        <f t="shared" si="318"/>
        <v>MARATHON</v>
      </c>
      <c r="B2002" s="2" t="str">
        <f t="shared" si="319"/>
        <v>MARATHON COUNTY</v>
      </c>
      <c r="C2002" s="2" t="s">
        <v>897</v>
      </c>
      <c r="D2002" s="2" t="str">
        <f>CLEAN("6664-00-70")</f>
        <v>6664-00-70</v>
      </c>
      <c r="E2002" s="3" t="str">
        <f>CLEAN("T BERGEN  CTH O")</f>
        <v>T BERGEN  CTH O</v>
      </c>
      <c r="F2002" s="3" t="str">
        <f>CLEAN("LITTLE EAU PLEINE RVR BR B370465")</f>
        <v>LITTLE EAU PLEINE RVR BR B370465</v>
      </c>
      <c r="G2002" s="3" t="str">
        <f>CLEAN("CONST/REPLACEMENT")</f>
        <v>CONST/REPLACEMENT</v>
      </c>
      <c r="H2002" s="2" t="str">
        <f>CLEAN("CTH O")</f>
        <v>CTH O</v>
      </c>
      <c r="I2002" s="2" t="str">
        <f t="shared" si="321"/>
        <v>205</v>
      </c>
    </row>
    <row r="2003" spans="1:9" x14ac:dyDescent="0.35">
      <c r="A2003" s="2" t="str">
        <f t="shared" si="318"/>
        <v>MARATHON</v>
      </c>
      <c r="B2003" s="2" t="str">
        <f t="shared" si="319"/>
        <v>MARATHON COUNTY</v>
      </c>
      <c r="C2003" s="2" t="s">
        <v>1957</v>
      </c>
      <c r="D2003" s="2" t="str">
        <f>CLEAN("6665-05-00")</f>
        <v>6665-05-00</v>
      </c>
      <c r="E2003" s="3" t="str">
        <f>CLEAN("STH 29 - CTH A")</f>
        <v>STH 29 - CTH A</v>
      </c>
      <c r="F2003" s="3" t="str">
        <f>CLEAN("BR BIG RIB RIVER BRIDGE  P-37-0915")</f>
        <v>BR BIG RIB RIVER BRIDGE  P-37-0915</v>
      </c>
      <c r="G2003" s="3" t="str">
        <f>CLEAN("DESIGN/FULL PSE/REPLACEMENT")</f>
        <v>DESIGN/FULL PSE/REPLACEMENT</v>
      </c>
      <c r="H2003" s="2" t="str">
        <f>CLEAN("CTH S")</f>
        <v>CTH S</v>
      </c>
      <c r="I2003" s="2" t="str">
        <f t="shared" si="321"/>
        <v>205</v>
      </c>
    </row>
    <row r="2004" spans="1:9" x14ac:dyDescent="0.35">
      <c r="A2004" s="2" t="str">
        <f t="shared" si="318"/>
        <v>MARATHON</v>
      </c>
      <c r="B2004" s="2" t="str">
        <f t="shared" si="319"/>
        <v>MARATHON COUNTY</v>
      </c>
      <c r="C2004" s="2" t="s">
        <v>885</v>
      </c>
      <c r="D2004" s="2" t="str">
        <f>CLEAN("6665-05-70")</f>
        <v>6665-05-70</v>
      </c>
      <c r="E2004" s="3" t="str">
        <f>CLEAN("STH 29 - CTH A")</f>
        <v>STH 29 - CTH A</v>
      </c>
      <c r="F2004" s="3" t="str">
        <f>CLEAN("BR BIG RIB RIVER BRIDGE  B-37-0500")</f>
        <v>BR BIG RIB RIVER BRIDGE  B-37-0500</v>
      </c>
      <c r="G2004" s="3" t="str">
        <f>CLEAN("CONST/REPLACEMENT")</f>
        <v>CONST/REPLACEMENT</v>
      </c>
      <c r="H2004" s="2" t="str">
        <f>CLEAN("CTH S")</f>
        <v>CTH S</v>
      </c>
      <c r="I2004" s="2" t="str">
        <f t="shared" si="321"/>
        <v>205</v>
      </c>
    </row>
    <row r="2005" spans="1:9" x14ac:dyDescent="0.35">
      <c r="A2005" s="2" t="str">
        <f t="shared" si="318"/>
        <v>MARATHON</v>
      </c>
      <c r="B2005" s="2" t="str">
        <f t="shared" si="319"/>
        <v>MARATHON COUNTY</v>
      </c>
      <c r="C2005" s="2" t="s">
        <v>871</v>
      </c>
      <c r="D2005" s="2" t="str">
        <f>CLEAN("6666-03-71")</f>
        <v>6666-03-71</v>
      </c>
      <c r="E2005" s="3" t="str">
        <f>CLEAN("CTH C - FENWOOD")</f>
        <v>CTH C - FENWOOD</v>
      </c>
      <c r="F2005" s="3" t="str">
        <f>CLEAN("BIG EAU PLEINE RIVER  B-37-0171")</f>
        <v>BIG EAU PLEINE RIVER  B-37-0171</v>
      </c>
      <c r="G2005" s="3" t="str">
        <f>CLEAN("CONST/REHAB/DECK REPLACEMENT")</f>
        <v>CONST/REHAB/DECK REPLACEMENT</v>
      </c>
      <c r="H2005" s="2" t="str">
        <f>CLEAN("CTH M")</f>
        <v>CTH M</v>
      </c>
      <c r="I2005" s="2" t="str">
        <f t="shared" si="321"/>
        <v>205</v>
      </c>
    </row>
    <row r="2006" spans="1:9" x14ac:dyDescent="0.35">
      <c r="A2006" s="2" t="str">
        <f t="shared" si="318"/>
        <v>MARATHON</v>
      </c>
      <c r="B2006" s="2" t="str">
        <f t="shared" si="319"/>
        <v>MARATHON COUNTY</v>
      </c>
      <c r="C2006" s="2" t="s">
        <v>1975</v>
      </c>
      <c r="D2006" s="2" t="str">
        <f>CLEAN("6667-01-00")</f>
        <v>6667-01-00</v>
      </c>
      <c r="E2006" s="3" t="str">
        <f>CLEAN("WOOD CO LINE - STH 97")</f>
        <v>WOOD CO LINE - STH 97</v>
      </c>
      <c r="F2006" s="3" t="str">
        <f>CLEAN("MCGIVERN CREEK BRIDGE  B-37-0042")</f>
        <v>MCGIVERN CREEK BRIDGE  B-37-0042</v>
      </c>
      <c r="G2006" s="3" t="str">
        <f>CLEAN("DESIGN/FULL PSE/REPLACEMENT")</f>
        <v>DESIGN/FULL PSE/REPLACEMENT</v>
      </c>
      <c r="H2006" s="2" t="str">
        <f>CLEAN("CTH T")</f>
        <v>CTH T</v>
      </c>
      <c r="I2006" s="2" t="str">
        <f t="shared" si="321"/>
        <v>205</v>
      </c>
    </row>
    <row r="2007" spans="1:9" x14ac:dyDescent="0.35">
      <c r="A2007" s="2" t="str">
        <f t="shared" si="318"/>
        <v>MARATHON</v>
      </c>
      <c r="B2007" s="2" t="str">
        <f t="shared" si="319"/>
        <v>MARATHON COUNTY</v>
      </c>
      <c r="C2007" s="2" t="s">
        <v>905</v>
      </c>
      <c r="D2007" s="2" t="str">
        <f>CLEAN("6667-01-70")</f>
        <v>6667-01-70</v>
      </c>
      <c r="E2007" s="3" t="str">
        <f>CLEAN("WOOD CO LINE - STH 97")</f>
        <v>WOOD CO LINE - STH 97</v>
      </c>
      <c r="F2007" s="3" t="str">
        <f>CLEAN("MCGIVERN CREEK BRIDGE  B-37-0496")</f>
        <v>MCGIVERN CREEK BRIDGE  B-37-0496</v>
      </c>
      <c r="G2007" s="3" t="str">
        <f>CLEAN("CONST/REPLACEMENT")</f>
        <v>CONST/REPLACEMENT</v>
      </c>
      <c r="H2007" s="2" t="str">
        <f>CLEAN("CTH T")</f>
        <v>CTH T</v>
      </c>
      <c r="I2007" s="2" t="str">
        <f t="shared" si="321"/>
        <v>205</v>
      </c>
    </row>
    <row r="2008" spans="1:9" x14ac:dyDescent="0.35">
      <c r="A2008" s="2" t="str">
        <f t="shared" si="318"/>
        <v>MARATHON</v>
      </c>
      <c r="B2008" s="2" t="str">
        <f t="shared" si="319"/>
        <v>MARATHON COUNTY</v>
      </c>
      <c r="C2008" s="2" t="s">
        <v>1704</v>
      </c>
      <c r="D2008" s="2" t="str">
        <f>CLEAN("6668-00-00")</f>
        <v>6668-00-00</v>
      </c>
      <c r="E2008" s="3" t="str">
        <f>CLEAN("STH 153 - STH 29")</f>
        <v>STH 153 - STH 29</v>
      </c>
      <c r="F2008" s="3" t="str">
        <f>CLEAN("STH 153 TO CTH P")</f>
        <v>STH 153 TO CTH P</v>
      </c>
      <c r="G2008" s="3" t="str">
        <f>CLEAN("DESIGN OVERSITE/PVRPLA")</f>
        <v>DESIGN OVERSITE/PVRPLA</v>
      </c>
      <c r="H2008" s="2" t="str">
        <f>CLEAN("CTH E")</f>
        <v>CTH E</v>
      </c>
      <c r="I2008" s="2" t="str">
        <f>CLEAN("206")</f>
        <v>206</v>
      </c>
    </row>
    <row r="2009" spans="1:9" x14ac:dyDescent="0.35">
      <c r="A2009" s="2" t="str">
        <f t="shared" si="318"/>
        <v>MARATHON</v>
      </c>
      <c r="B2009" s="2" t="str">
        <f t="shared" si="319"/>
        <v>MARATHON COUNTY</v>
      </c>
      <c r="C2009" s="2" t="s">
        <v>726</v>
      </c>
      <c r="D2009" s="2" t="str">
        <f>CLEAN("6668-00-70")</f>
        <v>6668-00-70</v>
      </c>
      <c r="E2009" s="3" t="str">
        <f>CLEAN("STH 153 - STH 29")</f>
        <v>STH 153 - STH 29</v>
      </c>
      <c r="F2009" s="3" t="str">
        <f>CLEAN("STH 153 TO CTH P")</f>
        <v>STH 153 TO CTH P</v>
      </c>
      <c r="G2009" s="3" t="str">
        <f>CLEAN("CONST/PVRPLA")</f>
        <v>CONST/PVRPLA</v>
      </c>
      <c r="H2009" s="2" t="str">
        <f>CLEAN("CTH E")</f>
        <v>CTH E</v>
      </c>
      <c r="I2009" s="2" t="str">
        <f>CLEAN("206")</f>
        <v>206</v>
      </c>
    </row>
    <row r="2010" spans="1:9" x14ac:dyDescent="0.35">
      <c r="A2010" s="2" t="str">
        <f t="shared" si="318"/>
        <v>MARATHON</v>
      </c>
      <c r="B2010" s="2" t="str">
        <f t="shared" si="319"/>
        <v>MARATHON COUNTY</v>
      </c>
      <c r="C2010" s="2" t="s">
        <v>1718</v>
      </c>
      <c r="D2010" s="2" t="str">
        <f>CLEAN("6669-00-00")</f>
        <v>6669-00-00</v>
      </c>
      <c r="E2010" s="3" t="str">
        <f>CLEAN("STH 29 - TAYLOR COUNTY LINE")</f>
        <v>STH 29 - TAYLOR COUNTY LINE</v>
      </c>
      <c r="F2010" s="3" t="str">
        <f>CLEAN("BR BIG EAU PLEINE RIVER  B-37-0092")</f>
        <v>BR BIG EAU PLEINE RIVER  B-37-0092</v>
      </c>
      <c r="G2010" s="3" t="str">
        <f>CLEAN("DESIGN OVERSITE/REPLACEMENT")</f>
        <v>DESIGN OVERSITE/REPLACEMENT</v>
      </c>
      <c r="H2010" s="2" t="str">
        <f>CLEAN("CTH F")</f>
        <v>CTH F</v>
      </c>
      <c r="I2010" s="2" t="str">
        <f>CLEAN("205")</f>
        <v>205</v>
      </c>
    </row>
    <row r="2011" spans="1:9" x14ac:dyDescent="0.35">
      <c r="A2011" s="2" t="str">
        <f t="shared" si="318"/>
        <v>MARATHON</v>
      </c>
      <c r="B2011" s="2" t="str">
        <f t="shared" si="319"/>
        <v>MARATHON COUNTY</v>
      </c>
      <c r="C2011" s="2" t="s">
        <v>884</v>
      </c>
      <c r="D2011" s="2" t="str">
        <f>CLEAN("6669-00-70")</f>
        <v>6669-00-70</v>
      </c>
      <c r="E2011" s="3" t="str">
        <f>CLEAN("STH 29 - TAYLOR COUNTY LINE")</f>
        <v>STH 29 - TAYLOR COUNTY LINE</v>
      </c>
      <c r="F2011" s="3" t="str">
        <f>CLEAN("BR BIG EAU PLEINE RIVER  B-37-0474")</f>
        <v>BR BIG EAU PLEINE RIVER  B-37-0474</v>
      </c>
      <c r="G2011" s="3" t="str">
        <f>CLEAN("CONST/REPLACEMENT")</f>
        <v>CONST/REPLACEMENT</v>
      </c>
      <c r="H2011" s="2" t="str">
        <f>CLEAN("CTH F")</f>
        <v>CTH F</v>
      </c>
      <c r="I2011" s="2" t="str">
        <f>CLEAN("205")</f>
        <v>205</v>
      </c>
    </row>
    <row r="2012" spans="1:9" x14ac:dyDescent="0.35">
      <c r="A2012" s="2" t="str">
        <f t="shared" si="318"/>
        <v>MARATHON</v>
      </c>
      <c r="B2012" s="2" t="str">
        <f t="shared" si="319"/>
        <v>MARATHON COUNTY</v>
      </c>
      <c r="C2012" s="2" t="s">
        <v>2026</v>
      </c>
      <c r="D2012" s="2" t="str">
        <f>CLEAN("9439-02-00")</f>
        <v>9439-02-00</v>
      </c>
      <c r="E2012" s="3" t="str">
        <f>CLEAN("STH 29 - STH 52")</f>
        <v>STH 29 - STH 52</v>
      </c>
      <c r="F2012" s="3" t="str">
        <f>CLEAN("CTH N/CTH J INTERSECTION")</f>
        <v>CTH N/CTH J INTERSECTION</v>
      </c>
      <c r="G2012" s="3" t="str">
        <f>CLEAN("DESIGN/HSIP")</f>
        <v>DESIGN/HSIP</v>
      </c>
      <c r="H2012" s="2" t="str">
        <f>CLEAN("CTH N")</f>
        <v>CTH N</v>
      </c>
      <c r="I2012" s="2" t="str">
        <f>CLEAN("206")</f>
        <v>206</v>
      </c>
    </row>
    <row r="2013" spans="1:9" x14ac:dyDescent="0.35">
      <c r="A2013" s="2" t="str">
        <f t="shared" si="318"/>
        <v>MARATHON</v>
      </c>
      <c r="B2013" s="2" t="str">
        <f t="shared" si="319"/>
        <v>MARATHON COUNTY</v>
      </c>
      <c r="C2013" s="2" t="s">
        <v>560</v>
      </c>
      <c r="D2013" s="2" t="str">
        <f>CLEAN("9439-02-70")</f>
        <v>9439-02-70</v>
      </c>
      <c r="E2013" s="3" t="str">
        <f>CLEAN("STH 29 - STH 52")</f>
        <v>STH 29 - STH 52</v>
      </c>
      <c r="F2013" s="3" t="str">
        <f>CLEAN("CTH N/CTH J INTERSECTION")</f>
        <v>CTH N/CTH J INTERSECTION</v>
      </c>
      <c r="G2013" s="3" t="str">
        <f>CLEAN("CONST/HSIP")</f>
        <v>CONST/HSIP</v>
      </c>
      <c r="H2013" s="2" t="str">
        <f>CLEAN("CTH N")</f>
        <v>CTH N</v>
      </c>
      <c r="I2013" s="2" t="str">
        <f>CLEAN("206")</f>
        <v>206</v>
      </c>
    </row>
    <row r="2014" spans="1:9" x14ac:dyDescent="0.35">
      <c r="A2014" s="2" t="str">
        <f t="shared" si="318"/>
        <v>MARATHON</v>
      </c>
      <c r="B2014" s="2" t="str">
        <f t="shared" si="319"/>
        <v>MARATHON COUNTY</v>
      </c>
      <c r="C2014" s="2" t="s">
        <v>1965</v>
      </c>
      <c r="D2014" s="2" t="str">
        <f>CLEAN("9471-00-00")</f>
        <v>9471-00-00</v>
      </c>
      <c r="E2014" s="3" t="str">
        <f>CLEAN("STH 29 - CTH N")</f>
        <v>STH 29 - CTH N</v>
      </c>
      <c r="F2014" s="3" t="str">
        <f>CLEAN("EAU CLAIRE RIVER BRIDGE B-37-0023")</f>
        <v>EAU CLAIRE RIVER BRIDGE B-37-0023</v>
      </c>
      <c r="G2014" s="3" t="str">
        <f>CLEAN("DESIGN/FULL PSE/REPLACEMENT")</f>
        <v>DESIGN/FULL PSE/REPLACEMENT</v>
      </c>
      <c r="H2014" s="2" t="str">
        <f>CLEAN("CTH J")</f>
        <v>CTH J</v>
      </c>
      <c r="I2014" s="2" t="str">
        <f>CLEAN("205")</f>
        <v>205</v>
      </c>
    </row>
    <row r="2015" spans="1:9" x14ac:dyDescent="0.35">
      <c r="A2015" s="2" t="str">
        <f t="shared" si="318"/>
        <v>MARATHON</v>
      </c>
      <c r="B2015" s="2" t="str">
        <f t="shared" si="319"/>
        <v>MARATHON COUNTY</v>
      </c>
      <c r="C2015" s="2" t="s">
        <v>891</v>
      </c>
      <c r="D2015" s="2" t="str">
        <f>CLEAN("9471-00-70")</f>
        <v>9471-00-70</v>
      </c>
      <c r="E2015" s="3" t="str">
        <f>CLEAN("STH 29 - CTH N")</f>
        <v>STH 29 - CTH N</v>
      </c>
      <c r="F2015" s="3" t="str">
        <f>CLEAN("EAU CLAIRE RIVER BRIDGE B-37-0495")</f>
        <v>EAU CLAIRE RIVER BRIDGE B-37-0495</v>
      </c>
      <c r="G2015" s="3" t="str">
        <f>CLEAN("CONST/REPLACEMENT")</f>
        <v>CONST/REPLACEMENT</v>
      </c>
      <c r="H2015" s="2" t="str">
        <f>CLEAN("CTH J")</f>
        <v>CTH J</v>
      </c>
      <c r="I2015" s="2" t="str">
        <f>CLEAN("205")</f>
        <v>205</v>
      </c>
    </row>
    <row r="2016" spans="1:9" x14ac:dyDescent="0.35">
      <c r="A2016" s="2" t="str">
        <f t="shared" si="318"/>
        <v>MARATHON</v>
      </c>
      <c r="B2016" s="2" t="str">
        <f t="shared" si="319"/>
        <v>MARATHON COUNTY</v>
      </c>
      <c r="C2016" s="2" t="s">
        <v>933</v>
      </c>
      <c r="D2016" s="2" t="str">
        <f>CLEAN("9471-04-73")</f>
        <v>9471-04-73</v>
      </c>
      <c r="E2016" s="3" t="str">
        <f>CLEAN("STH 52 - CTH G")</f>
        <v>STH 52 - CTH G</v>
      </c>
      <c r="F2016" s="3" t="str">
        <f>CLEAN("TRAPPE RIVER BRIDGE  B-37-0488")</f>
        <v>TRAPPE RIVER BRIDGE  B-37-0488</v>
      </c>
      <c r="G2016" s="3" t="str">
        <f>CLEAN("CONST/REPLACEMENT")</f>
        <v>CONST/REPLACEMENT</v>
      </c>
      <c r="H2016" s="2" t="str">
        <f>CLEAN("CTH J")</f>
        <v>CTH J</v>
      </c>
      <c r="I2016" s="2" t="str">
        <f>CLEAN("205")</f>
        <v>205</v>
      </c>
    </row>
    <row r="2017" spans="1:9" x14ac:dyDescent="0.35">
      <c r="A2017" s="2" t="str">
        <f t="shared" si="318"/>
        <v>MARATHON</v>
      </c>
      <c r="B2017" s="2" t="str">
        <f t="shared" si="319"/>
        <v>MARATHON COUNTY</v>
      </c>
      <c r="C2017" s="2" t="s">
        <v>1908</v>
      </c>
      <c r="D2017" s="2" t="str">
        <f>CLEAN("9473-00-00")</f>
        <v>9473-00-00</v>
      </c>
      <c r="E2017" s="3" t="str">
        <f>CLEAN("WAUSAU - LINCOLN COUNTY LINE")</f>
        <v>WAUSAU - LINCOLN COUNTY LINE</v>
      </c>
      <c r="F2017" s="3" t="str">
        <f>CLEAN("COUNTY ROAD WW TO RIVERVIEW AVENUE")</f>
        <v>COUNTY ROAD WW TO RIVERVIEW AVENUE</v>
      </c>
      <c r="G2017" s="3" t="str">
        <f>CLEAN("DESIGN/FULL PSE/PVRPLA")</f>
        <v>DESIGN/FULL PSE/PVRPLA</v>
      </c>
      <c r="H2017" s="2" t="str">
        <f>CLEAN("CTH W")</f>
        <v>CTH W</v>
      </c>
      <c r="I2017" s="2" t="str">
        <f>CLEAN("206")</f>
        <v>206</v>
      </c>
    </row>
    <row r="2018" spans="1:9" x14ac:dyDescent="0.35">
      <c r="A2018" s="2" t="str">
        <f t="shared" si="318"/>
        <v>MARATHON</v>
      </c>
      <c r="B2018" s="2" t="str">
        <f t="shared" si="319"/>
        <v>MARATHON COUNTY</v>
      </c>
      <c r="C2018" s="2" t="s">
        <v>1911</v>
      </c>
      <c r="D2018" s="2" t="str">
        <f>CLEAN("9473-00-01")</f>
        <v>9473-00-01</v>
      </c>
      <c r="E2018" s="3" t="str">
        <f>CLEAN("WAUSAU - LINCOLN COUNTY LINE")</f>
        <v>WAUSAU - LINCOLN COUNTY LINE</v>
      </c>
      <c r="F2018" s="3" t="str">
        <f>CLEAN("EVERGREEN ROAD TO COUNTY ROAD WW")</f>
        <v>EVERGREEN ROAD TO COUNTY ROAD WW</v>
      </c>
      <c r="G2018" s="3" t="str">
        <f>CLEAN("DESIGN/FULL PSE/PVRPLA")</f>
        <v>DESIGN/FULL PSE/PVRPLA</v>
      </c>
      <c r="H2018" s="2" t="str">
        <f>CLEAN("CTH W")</f>
        <v>CTH W</v>
      </c>
      <c r="I2018" s="2" t="str">
        <f>CLEAN("206")</f>
        <v>206</v>
      </c>
    </row>
    <row r="2019" spans="1:9" x14ac:dyDescent="0.35">
      <c r="A2019" s="2" t="str">
        <f t="shared" si="318"/>
        <v>MARATHON</v>
      </c>
      <c r="B2019" s="2" t="str">
        <f t="shared" si="319"/>
        <v>MARATHON COUNTY</v>
      </c>
      <c r="C2019" s="2" t="s">
        <v>900</v>
      </c>
      <c r="D2019" s="2" t="str">
        <f>CLEAN("9478-03-71")</f>
        <v>9478-03-71</v>
      </c>
      <c r="E2019" s="3" t="str">
        <f>CLEAN("STH 107 - CTH O")</f>
        <v>STH 107 - CTH O</v>
      </c>
      <c r="F2019" s="3" t="str">
        <f>CLEAN("LITTLE RIB RIVER BRIDGE  B-37-0473")</f>
        <v>LITTLE RIB RIVER BRIDGE  B-37-0473</v>
      </c>
      <c r="G2019" s="3" t="str">
        <f>CLEAN("CONST/REPLACEMENT")</f>
        <v>CONST/REPLACEMENT</v>
      </c>
      <c r="H2019" s="2" t="str">
        <f>CLEAN("CTH L")</f>
        <v>CTH L</v>
      </c>
      <c r="I2019" s="2" t="str">
        <f t="shared" ref="I2019:I2025" si="322">CLEAN("205")</f>
        <v>205</v>
      </c>
    </row>
    <row r="2020" spans="1:9" x14ac:dyDescent="0.35">
      <c r="A2020" s="2" t="str">
        <f t="shared" si="318"/>
        <v>MARATHON</v>
      </c>
      <c r="B2020" s="2" t="str">
        <f t="shared" si="319"/>
        <v>MARATHON COUNTY</v>
      </c>
      <c r="C2020" s="2" t="s">
        <v>883</v>
      </c>
      <c r="D2020" s="2" t="str">
        <f>CLEAN("9478-06-70")</f>
        <v>9478-06-70</v>
      </c>
      <c r="E2020" s="3" t="str">
        <f>CLEAN("T BERN  CTH L")</f>
        <v>T BERN  CTH L</v>
      </c>
      <c r="F2020" s="3" t="str">
        <f>CLEAN("BLACK CREEK BRIDGE B-37-0464")</f>
        <v>BLACK CREEK BRIDGE B-37-0464</v>
      </c>
      <c r="G2020" s="3" t="str">
        <f>CLEAN("CONST/REPLACEMENT")</f>
        <v>CONST/REPLACEMENT</v>
      </c>
      <c r="H2020" s="2" t="str">
        <f>CLEAN("CTH L")</f>
        <v>CTH L</v>
      </c>
      <c r="I2020" s="2" t="str">
        <f t="shared" si="322"/>
        <v>205</v>
      </c>
    </row>
    <row r="2021" spans="1:9" x14ac:dyDescent="0.35">
      <c r="A2021" s="2" t="str">
        <f t="shared" si="318"/>
        <v>MARATHON</v>
      </c>
      <c r="B2021" s="2" t="str">
        <f t="shared" si="319"/>
        <v>MARATHON COUNTY</v>
      </c>
      <c r="C2021" s="2" t="s">
        <v>1954</v>
      </c>
      <c r="D2021" s="2" t="str">
        <f>CLEAN("9479-00-04")</f>
        <v>9479-00-04</v>
      </c>
      <c r="E2021" s="3" t="str">
        <f>CLEAN("CTH H - CTH S")</f>
        <v>CTH H - CTH S</v>
      </c>
      <c r="F2021" s="3" t="str">
        <f>CLEAN("BIG RIB RIVER BRIDGE B-37-0025")</f>
        <v>BIG RIB RIVER BRIDGE B-37-0025</v>
      </c>
      <c r="G2021" s="3" t="str">
        <f>CLEAN("DESIGN/FULL PSE/REPLACEMENT")</f>
        <v>DESIGN/FULL PSE/REPLACEMENT</v>
      </c>
      <c r="H2021" s="2" t="str">
        <f>CLEAN("CTH A")</f>
        <v>CTH A</v>
      </c>
      <c r="I2021" s="2" t="str">
        <f t="shared" si="322"/>
        <v>205</v>
      </c>
    </row>
    <row r="2022" spans="1:9" x14ac:dyDescent="0.35">
      <c r="A2022" s="2" t="str">
        <f t="shared" si="318"/>
        <v>MARATHON</v>
      </c>
      <c r="B2022" s="2" t="str">
        <f t="shared" si="319"/>
        <v>MARATHON COUNTY</v>
      </c>
      <c r="C2022" s="2" t="s">
        <v>2008</v>
      </c>
      <c r="D2022" s="2" t="str">
        <f>CLEAN("9479-00-05")</f>
        <v>9479-00-05</v>
      </c>
      <c r="E2022" s="3" t="str">
        <f>CLEAN("STH 13 - STH 97")</f>
        <v>STH 13 - STH 97</v>
      </c>
      <c r="F2022" s="3" t="str">
        <f>CLEAN("W BR EAU PLEINE RIVER  B-37-0095")</f>
        <v>W BR EAU PLEINE RIVER  B-37-0095</v>
      </c>
      <c r="G2022" s="3" t="str">
        <f>CLEAN("DESIGN/FULL PSE/REPLACEMENT")</f>
        <v>DESIGN/FULL PSE/REPLACEMENT</v>
      </c>
      <c r="H2022" s="2" t="str">
        <f>CLEAN("CTH A")</f>
        <v>CTH A</v>
      </c>
      <c r="I2022" s="2" t="str">
        <f t="shared" si="322"/>
        <v>205</v>
      </c>
    </row>
    <row r="2023" spans="1:9" x14ac:dyDescent="0.35">
      <c r="A2023" s="2" t="str">
        <f t="shared" si="318"/>
        <v>MARATHON</v>
      </c>
      <c r="B2023" s="2" t="str">
        <f t="shared" si="319"/>
        <v>MARATHON COUNTY</v>
      </c>
      <c r="C2023" s="2" t="s">
        <v>881</v>
      </c>
      <c r="D2023" s="2" t="str">
        <f>CLEAN("9479-00-74")</f>
        <v>9479-00-74</v>
      </c>
      <c r="E2023" s="3" t="str">
        <f>CLEAN("CTH H - CTH S")</f>
        <v>CTH H - CTH S</v>
      </c>
      <c r="F2023" s="3" t="str">
        <f>CLEAN("BIG RIB RIVER BRIDGE B-37-0475")</f>
        <v>BIG RIB RIVER BRIDGE B-37-0475</v>
      </c>
      <c r="G2023" s="3" t="str">
        <f>CLEAN("CONST/REPLACEMENT")</f>
        <v>CONST/REPLACEMENT</v>
      </c>
      <c r="H2023" s="2" t="str">
        <f>CLEAN("CTH A")</f>
        <v>CTH A</v>
      </c>
      <c r="I2023" s="2" t="str">
        <f t="shared" si="322"/>
        <v>205</v>
      </c>
    </row>
    <row r="2024" spans="1:9" x14ac:dyDescent="0.35">
      <c r="A2024" s="2" t="str">
        <f t="shared" si="318"/>
        <v>MARATHON</v>
      </c>
      <c r="B2024" s="2" t="str">
        <f t="shared" si="319"/>
        <v>MARATHON COUNTY</v>
      </c>
      <c r="C2024" s="2" t="s">
        <v>1720</v>
      </c>
      <c r="D2024" s="2" t="str">
        <f>CLEAN("9481-00-04")</f>
        <v>9481-00-04</v>
      </c>
      <c r="E2024" s="3" t="str">
        <f>CLEAN("CTH O - USH 51")</f>
        <v>CTH O - USH 51</v>
      </c>
      <c r="F2024" s="3" t="str">
        <f>CLEAN("LITTLE RIB RIVER BRIDGE  B-37-0028")</f>
        <v>LITTLE RIB RIVER BRIDGE  B-37-0028</v>
      </c>
      <c r="G2024" s="3" t="str">
        <f>CLEAN("DESIGN OVERSITE/REPLACEMENT")</f>
        <v>DESIGN OVERSITE/REPLACEMENT</v>
      </c>
      <c r="H2024" s="2" t="str">
        <f>CLEAN("CTH U")</f>
        <v>CTH U</v>
      </c>
      <c r="I2024" s="2" t="str">
        <f t="shared" si="322"/>
        <v>205</v>
      </c>
    </row>
    <row r="2025" spans="1:9" x14ac:dyDescent="0.35">
      <c r="A2025" s="2" t="str">
        <f t="shared" si="318"/>
        <v>MARATHON</v>
      </c>
      <c r="B2025" s="2" t="str">
        <f t="shared" si="319"/>
        <v>MARATHON COUNTY</v>
      </c>
      <c r="C2025" s="2" t="s">
        <v>901</v>
      </c>
      <c r="D2025" s="2" t="str">
        <f>CLEAN("9481-00-74")</f>
        <v>9481-00-74</v>
      </c>
      <c r="E2025" s="3" t="str">
        <f>CLEAN("CTH O - USH 51")</f>
        <v>CTH O - USH 51</v>
      </c>
      <c r="F2025" s="3" t="str">
        <f>CLEAN("LITTLE RIB RIVER BRIDGE  B-37-0497")</f>
        <v>LITTLE RIB RIVER BRIDGE  B-37-0497</v>
      </c>
      <c r="G2025" s="3" t="str">
        <f>CLEAN("CONST/REPLACEMENT")</f>
        <v>CONST/REPLACEMENT</v>
      </c>
      <c r="H2025" s="2" t="str">
        <f>CLEAN("CTH U")</f>
        <v>CTH U</v>
      </c>
      <c r="I2025" s="2" t="str">
        <f t="shared" si="322"/>
        <v>205</v>
      </c>
    </row>
    <row r="2026" spans="1:9" x14ac:dyDescent="0.35">
      <c r="A2026" s="2" t="str">
        <f t="shared" si="318"/>
        <v>MARATHON</v>
      </c>
      <c r="B2026" s="2" t="str">
        <f t="shared" si="319"/>
        <v>MARATHON COUNTY</v>
      </c>
      <c r="C2026" s="2" t="s">
        <v>1703</v>
      </c>
      <c r="D2026" s="2" t="str">
        <f>CLEAN("9958-00-01")</f>
        <v>9958-00-01</v>
      </c>
      <c r="E2026" s="3" t="str">
        <f>CLEAN("STH 153 - STH 29")</f>
        <v>STH 153 - STH 29</v>
      </c>
      <c r="F2026" s="3" t="str">
        <f>CLEAN("CTH N TO STH 29")</f>
        <v>CTH N TO STH 29</v>
      </c>
      <c r="G2026" s="3" t="str">
        <f>CLEAN("DESIGN OVERSITE/PVRPLA")</f>
        <v>DESIGN OVERSITE/PVRPLA</v>
      </c>
      <c r="H2026" s="2" t="str">
        <f>CLEAN("CTH H")</f>
        <v>CTH H</v>
      </c>
      <c r="I2026" s="2" t="str">
        <f>CLEAN("206")</f>
        <v>206</v>
      </c>
    </row>
    <row r="2027" spans="1:9" x14ac:dyDescent="0.35">
      <c r="A2027" s="2" t="str">
        <f t="shared" si="318"/>
        <v>MARATHON</v>
      </c>
      <c r="B2027" s="2" t="str">
        <f t="shared" si="319"/>
        <v>MARATHON COUNTY</v>
      </c>
      <c r="C2027" s="2" t="s">
        <v>658</v>
      </c>
      <c r="D2027" s="2" t="str">
        <f>CLEAN("9958-00-71")</f>
        <v>9958-00-71</v>
      </c>
      <c r="E2027" s="3" t="str">
        <f>CLEAN("STH 153 - STH 29")</f>
        <v>STH 153 - STH 29</v>
      </c>
      <c r="F2027" s="3" t="str">
        <f>CLEAN("CTH N TO STH 29")</f>
        <v>CTH N TO STH 29</v>
      </c>
      <c r="G2027" s="3" t="str">
        <f>CLEAN("CONST/PAVEMENT REPLACEMENT")</f>
        <v>CONST/PAVEMENT REPLACEMENT</v>
      </c>
      <c r="H2027" s="2" t="str">
        <f>CLEAN("CTH H")</f>
        <v>CTH H</v>
      </c>
      <c r="I2027" s="2" t="str">
        <f>CLEAN("206")</f>
        <v>206</v>
      </c>
    </row>
    <row r="2028" spans="1:9" x14ac:dyDescent="0.35">
      <c r="A2028" s="2" t="str">
        <f t="shared" si="318"/>
        <v>MARATHON</v>
      </c>
      <c r="B2028" s="2" t="str">
        <f t="shared" si="319"/>
        <v>MARATHON COUNTY</v>
      </c>
      <c r="C2028" s="2" t="s">
        <v>1994</v>
      </c>
      <c r="D2028" s="2" t="str">
        <f>CLEAN("9958-02-00")</f>
        <v>9958-02-00</v>
      </c>
      <c r="E2028" s="3" t="str">
        <f>CLEAN("STH 153 - CTH P")</f>
        <v>STH 153 - CTH P</v>
      </c>
      <c r="F2028" s="3" t="str">
        <f>CLEAN("ROCKY RUN RIVER BRIDGE B-37-0085")</f>
        <v>ROCKY RUN RIVER BRIDGE B-37-0085</v>
      </c>
      <c r="G2028" s="3" t="str">
        <f>CLEAN("DESIGN/FULL PSE/REPLACEMENT")</f>
        <v>DESIGN/FULL PSE/REPLACEMENT</v>
      </c>
      <c r="H2028" s="2" t="str">
        <f>CLEAN("CTH H")</f>
        <v>CTH H</v>
      </c>
      <c r="I2028" s="2" t="str">
        <f>CLEAN("205")</f>
        <v>205</v>
      </c>
    </row>
    <row r="2029" spans="1:9" x14ac:dyDescent="0.35">
      <c r="A2029" s="2" t="str">
        <f t="shared" si="318"/>
        <v>MARATHON</v>
      </c>
      <c r="B2029" s="2" t="str">
        <f t="shared" si="319"/>
        <v>MARATHON COUNTY</v>
      </c>
      <c r="C2029" s="2" t="s">
        <v>923</v>
      </c>
      <c r="D2029" s="2" t="str">
        <f>CLEAN("9958-02-70")</f>
        <v>9958-02-70</v>
      </c>
      <c r="E2029" s="3" t="str">
        <f>CLEAN("STH 153 - CTH P")</f>
        <v>STH 153 - CTH P</v>
      </c>
      <c r="F2029" s="3" t="str">
        <f>CLEAN("ROCKY RUN RIVER BRIDGE B-37-0480")</f>
        <v>ROCKY RUN RIVER BRIDGE B-37-0480</v>
      </c>
      <c r="G2029" s="3" t="str">
        <f>CLEAN("CONST/REPLACEMENT")</f>
        <v>CONST/REPLACEMENT</v>
      </c>
      <c r="H2029" s="2" t="str">
        <f>CLEAN("CTH H")</f>
        <v>CTH H</v>
      </c>
      <c r="I2029" s="2" t="str">
        <f>CLEAN("205")</f>
        <v>205</v>
      </c>
    </row>
    <row r="2030" spans="1:9" x14ac:dyDescent="0.35">
      <c r="A2030" s="2" t="str">
        <f>CLEAN("STATEWIDE")</f>
        <v>STATEWIDE</v>
      </c>
      <c r="B2030" s="2" t="str">
        <f>CLEAN("MARIAN UNIVERSITY")</f>
        <v>MARIAN UNIVERSITY</v>
      </c>
      <c r="C2030" s="2" t="s">
        <v>1379</v>
      </c>
      <c r="D2030" s="2" t="str">
        <f>CLEAN("1000-20-78")</f>
        <v>1000-20-78</v>
      </c>
      <c r="E2030" s="3" t="str">
        <f>CLEAN("STATEWIDE TYPE 1 SIGN REPLACEMENT")</f>
        <v>STATEWIDE TYPE 1 SIGN REPLACEMENT</v>
      </c>
      <c r="F2030" s="3" t="str">
        <f>CLEAN("LOCATIONS ON STN PER ANNUAL PLAN")</f>
        <v>LOCATIONS ON STN PER ANNUAL PLAN</v>
      </c>
      <c r="G2030" s="3" t="str">
        <f>CLEAN("CONSTRUCTION/SIGN REPLACEMENTS")</f>
        <v>CONSTRUCTION/SIGN REPLACEMENTS</v>
      </c>
      <c r="H2030" s="2" t="str">
        <f>CLEAN("VAR HWY")</f>
        <v>VAR HWY</v>
      </c>
      <c r="I2030" s="2" t="str">
        <f>CLEAN("305")</f>
        <v>305</v>
      </c>
    </row>
    <row r="2031" spans="1:9" x14ac:dyDescent="0.35">
      <c r="A2031" s="2" t="str">
        <f t="shared" ref="A2031:A2040" si="323">CLEAN("MARINETTE")</f>
        <v>MARINETTE</v>
      </c>
      <c r="B2031" s="2" t="str">
        <f t="shared" ref="B2031:B2040" si="324">CLEAN("MARINETTE COUNTY")</f>
        <v>MARINETTE COUNTY</v>
      </c>
      <c r="C2031" s="2" t="s">
        <v>3375</v>
      </c>
      <c r="D2031" s="2" t="str">
        <f>CLEAN("1150-81-00")</f>
        <v>1150-81-00</v>
      </c>
      <c r="E2031" s="3" t="str">
        <f>CLEAN("C MARINETTE  USH 41")</f>
        <v>C MARINETTE  USH 41</v>
      </c>
      <c r="F2031" s="3" t="str">
        <f>CLEAN("USH 41 &amp; CTH T INTERSECTION")</f>
        <v>USH 41 &amp; CTH T INTERSECTION</v>
      </c>
      <c r="G2031" s="3" t="str">
        <f>CLEAN("TRF OPS/MISC")</f>
        <v>TRF OPS/MISC</v>
      </c>
      <c r="H2031" s="2" t="str">
        <f>CLEAN("USH 041")</f>
        <v>USH 041</v>
      </c>
      <c r="I2031" s="2" t="str">
        <f>CLEAN("303")</f>
        <v>303</v>
      </c>
    </row>
    <row r="2032" spans="1:9" x14ac:dyDescent="0.35">
      <c r="A2032" s="2" t="str">
        <f t="shared" si="323"/>
        <v>MARINETTE</v>
      </c>
      <c r="B2032" s="2" t="str">
        <f t="shared" si="324"/>
        <v>MARINETTE COUNTY</v>
      </c>
      <c r="C2032" s="2" t="s">
        <v>2350</v>
      </c>
      <c r="D2032" s="2" t="str">
        <f>CLEAN("9038-03-00")</f>
        <v>9038-03-00</v>
      </c>
      <c r="E2032" s="3" t="str">
        <f>CLEAN("T WAGNER  CTH JJ")</f>
        <v>T WAGNER  CTH JJ</v>
      </c>
      <c r="F2032" s="3" t="str">
        <f>CLEAN("MENOMINEE RIVER BRIDGE")</f>
        <v>MENOMINEE RIVER BRIDGE</v>
      </c>
      <c r="G2032" s="3" t="str">
        <f>CLEAN("DSGN/FULL PSE/BRRHB/B380017")</f>
        <v>DSGN/FULL PSE/BRRHB/B380017</v>
      </c>
      <c r="H2032" s="2" t="str">
        <f>CLEAN("CTH JJ")</f>
        <v>CTH JJ</v>
      </c>
      <c r="I2032" s="2" t="str">
        <f>CLEAN("205")</f>
        <v>205</v>
      </c>
    </row>
    <row r="2033" spans="1:9" x14ac:dyDescent="0.35">
      <c r="A2033" s="2" t="str">
        <f t="shared" si="323"/>
        <v>MARINETTE</v>
      </c>
      <c r="B2033" s="2" t="str">
        <f t="shared" si="324"/>
        <v>MARINETTE COUNTY</v>
      </c>
      <c r="C2033" s="2" t="s">
        <v>2351</v>
      </c>
      <c r="D2033" s="2" t="str">
        <f>CLEAN("9056-00-00")</f>
        <v>9056-00-00</v>
      </c>
      <c r="E2033" s="3" t="str">
        <f>CLEAN("T LAKE  CTH P")</f>
        <v>T LAKE  CTH P</v>
      </c>
      <c r="F2033" s="3" t="str">
        <f>CLEAN("PESHTIGO RIVER BRIDGE")</f>
        <v>PESHTIGO RIVER BRIDGE</v>
      </c>
      <c r="G2033" s="3" t="str">
        <f>CLEAN("DSGN/FULL PSE/BRRHB/P380092")</f>
        <v>DSGN/FULL PSE/BRRHB/P380092</v>
      </c>
      <c r="H2033" s="2" t="str">
        <f>CLEAN("CTH P")</f>
        <v>CTH P</v>
      </c>
      <c r="I2033" s="2" t="str">
        <f>CLEAN("205")</f>
        <v>205</v>
      </c>
    </row>
    <row r="2034" spans="1:9" x14ac:dyDescent="0.35">
      <c r="A2034" s="2" t="str">
        <f t="shared" si="323"/>
        <v>MARINETTE</v>
      </c>
      <c r="B2034" s="2" t="str">
        <f t="shared" si="324"/>
        <v>MARINETTE COUNTY</v>
      </c>
      <c r="C2034" s="2" t="s">
        <v>2375</v>
      </c>
      <c r="D2034" s="2" t="str">
        <f>CLEAN("9249-04-00")</f>
        <v>9249-04-00</v>
      </c>
      <c r="E2034" s="3" t="str">
        <f>CLEAN("T ATHLESTANE  CTH C")</f>
        <v>T ATHLESTANE  CTH C</v>
      </c>
      <c r="F2034" s="3" t="str">
        <f>CLEAN("WAUSAUKEE RIVER BRIDGE")</f>
        <v>WAUSAUKEE RIVER BRIDGE</v>
      </c>
      <c r="G2034" s="3" t="str">
        <f>CLEAN("DSGN/FULL PSE/BRRPL/P-38-0915")</f>
        <v>DSGN/FULL PSE/BRRPL/P-38-0915</v>
      </c>
      <c r="H2034" s="2" t="str">
        <f>CLEAN("CTH C")</f>
        <v>CTH C</v>
      </c>
      <c r="I2034" s="2" t="str">
        <f>CLEAN("205")</f>
        <v>205</v>
      </c>
    </row>
    <row r="2035" spans="1:9" x14ac:dyDescent="0.35">
      <c r="A2035" s="2" t="str">
        <f t="shared" si="323"/>
        <v>MARINETTE</v>
      </c>
      <c r="B2035" s="2" t="str">
        <f t="shared" si="324"/>
        <v>MARINETTE COUNTY</v>
      </c>
      <c r="C2035" s="2" t="s">
        <v>158</v>
      </c>
      <c r="D2035" s="2" t="str">
        <f>CLEAN("9249-04-70")</f>
        <v>9249-04-70</v>
      </c>
      <c r="E2035" s="3" t="str">
        <f>CLEAN("T ATHLESTANE  CTH C")</f>
        <v>T ATHLESTANE  CTH C</v>
      </c>
      <c r="F2035" s="3" t="str">
        <f>CLEAN("WAUSAUKEE RIVER BRIDGE")</f>
        <v>WAUSAUKEE RIVER BRIDGE</v>
      </c>
      <c r="G2035" s="3" t="str">
        <f>CLEAN("CONST OPS/BRRPL P-38-0915")</f>
        <v>CONST OPS/BRRPL P-38-0915</v>
      </c>
      <c r="H2035" s="2" t="str">
        <f>CLEAN("CTH C")</f>
        <v>CTH C</v>
      </c>
      <c r="I2035" s="2" t="str">
        <f>CLEAN("205")</f>
        <v>205</v>
      </c>
    </row>
    <row r="2036" spans="1:9" x14ac:dyDescent="0.35">
      <c r="A2036" s="2" t="str">
        <f t="shared" si="323"/>
        <v>MARINETTE</v>
      </c>
      <c r="B2036" s="2" t="str">
        <f t="shared" si="324"/>
        <v>MARINETTE COUNTY</v>
      </c>
      <c r="C2036" s="2" t="s">
        <v>1920</v>
      </c>
      <c r="D2036" s="2" t="str">
        <f>CLEAN("9258-05-72")</f>
        <v>9258-05-72</v>
      </c>
      <c r="E2036" s="3" t="str">
        <f>CLEAN("MARINETTE CO  CTH A")</f>
        <v>MARINETTE CO  CTH A</v>
      </c>
      <c r="F2036" s="3" t="str">
        <f>CLEAN("ROSA AVENUE TO CTH X")</f>
        <v>ROSA AVENUE TO CTH X</v>
      </c>
      <c r="G2036" s="3" t="str">
        <f>CLEAN("DESIGN/FULL PSE/PVRPLA")</f>
        <v>DESIGN/FULL PSE/PVRPLA</v>
      </c>
      <c r="H2036" s="2" t="str">
        <f>CLEAN("CTH A")</f>
        <v>CTH A</v>
      </c>
      <c r="I2036" s="2" t="str">
        <f t="shared" ref="I2036:I2042" si="325">CLEAN("206")</f>
        <v>206</v>
      </c>
    </row>
    <row r="2037" spans="1:9" x14ac:dyDescent="0.35">
      <c r="A2037" s="2" t="str">
        <f t="shared" si="323"/>
        <v>MARINETTE</v>
      </c>
      <c r="B2037" s="2" t="str">
        <f t="shared" si="324"/>
        <v>MARINETTE COUNTY</v>
      </c>
      <c r="C2037" s="2" t="s">
        <v>216</v>
      </c>
      <c r="D2037" s="2" t="str">
        <f>CLEAN("9258-05-73")</f>
        <v>9258-05-73</v>
      </c>
      <c r="E2037" s="3" t="str">
        <f>CLEAN("MARINETTE CO  CTH A")</f>
        <v>MARINETTE CO  CTH A</v>
      </c>
      <c r="F2037" s="3" t="str">
        <f>CLEAN("ROSA AVENUE TO CTH X")</f>
        <v>ROSA AVENUE TO CTH X</v>
      </c>
      <c r="G2037" s="3" t="str">
        <f>CLEAN("CONST OPS/PVRPLA")</f>
        <v>CONST OPS/PVRPLA</v>
      </c>
      <c r="H2037" s="2" t="str">
        <f>CLEAN("CTH A")</f>
        <v>CTH A</v>
      </c>
      <c r="I2037" s="2" t="str">
        <f t="shared" si="325"/>
        <v>206</v>
      </c>
    </row>
    <row r="2038" spans="1:9" x14ac:dyDescent="0.35">
      <c r="A2038" s="2" t="str">
        <f t="shared" si="323"/>
        <v>MARINETTE</v>
      </c>
      <c r="B2038" s="2" t="str">
        <f t="shared" si="324"/>
        <v>MARINETTE COUNTY</v>
      </c>
      <c r="C2038" s="2" t="s">
        <v>2386</v>
      </c>
      <c r="D2038" s="2" t="str">
        <f>CLEAN("9259-00-00")</f>
        <v>9259-00-00</v>
      </c>
      <c r="E2038" s="3" t="str">
        <f>CLEAN("PESHTIGO - MARINETTE")</f>
        <v>PESHTIGO - MARINETTE</v>
      </c>
      <c r="F2038" s="3" t="str">
        <f>CLEAN("MAPLE STREET - CTH T")</f>
        <v>MAPLE STREET - CTH T</v>
      </c>
      <c r="G2038" s="3" t="str">
        <f>CLEAN("DSGN/FULL PSE/MISC")</f>
        <v>DSGN/FULL PSE/MISC</v>
      </c>
      <c r="H2038" s="2" t="str">
        <f>CLEAN("CTH B")</f>
        <v>CTH B</v>
      </c>
      <c r="I2038" s="2" t="str">
        <f t="shared" si="325"/>
        <v>206</v>
      </c>
    </row>
    <row r="2039" spans="1:9" x14ac:dyDescent="0.35">
      <c r="A2039" s="2" t="str">
        <f t="shared" si="323"/>
        <v>MARINETTE</v>
      </c>
      <c r="B2039" s="2" t="str">
        <f t="shared" si="324"/>
        <v>MARINETTE COUNTY</v>
      </c>
      <c r="C2039" s="2" t="s">
        <v>183</v>
      </c>
      <c r="D2039" s="2" t="str">
        <f>CLEAN("9259-00-70")</f>
        <v>9259-00-70</v>
      </c>
      <c r="E2039" s="3" t="str">
        <f>CLEAN("PESHTIGO - MARINETTE")</f>
        <v>PESHTIGO - MARINETTE</v>
      </c>
      <c r="F2039" s="3" t="str">
        <f>CLEAN("MAPLE STREET - CTH T")</f>
        <v>MAPLE STREET - CTH T</v>
      </c>
      <c r="G2039" s="3" t="str">
        <f>CLEAN("CONST OPS/MISC/HRRR")</f>
        <v>CONST OPS/MISC/HRRR</v>
      </c>
      <c r="H2039" s="2" t="str">
        <f>CLEAN("CTH B")</f>
        <v>CTH B</v>
      </c>
      <c r="I2039" s="2" t="str">
        <f t="shared" si="325"/>
        <v>206</v>
      </c>
    </row>
    <row r="2040" spans="1:9" x14ac:dyDescent="0.35">
      <c r="A2040" s="2" t="str">
        <f t="shared" si="323"/>
        <v>MARINETTE</v>
      </c>
      <c r="B2040" s="2" t="str">
        <f t="shared" si="324"/>
        <v>MARINETTE COUNTY</v>
      </c>
      <c r="C2040" s="2" t="s">
        <v>2409</v>
      </c>
      <c r="D2040" s="2" t="str">
        <f>CLEAN("9326-06-00")</f>
        <v>9326-06-00</v>
      </c>
      <c r="E2040" s="3" t="str">
        <f>CLEAN("T GROVER  CTH B")</f>
        <v>T GROVER  CTH B</v>
      </c>
      <c r="F2040" s="3" t="str">
        <f>CLEAN("CTH W INTERSECTION")</f>
        <v>CTH W INTERSECTION</v>
      </c>
      <c r="G2040" s="3" t="str">
        <f>CLEAN("DSGN/FULL PSE/RECST")</f>
        <v>DSGN/FULL PSE/RECST</v>
      </c>
      <c r="H2040" s="2" t="str">
        <f>CLEAN("CTH B")</f>
        <v>CTH B</v>
      </c>
      <c r="I2040" s="2" t="str">
        <f t="shared" si="325"/>
        <v>206</v>
      </c>
    </row>
    <row r="2041" spans="1:9" x14ac:dyDescent="0.35">
      <c r="A2041" s="2" t="str">
        <f>CLEAN("MARQUETTE")</f>
        <v>MARQUETTE</v>
      </c>
      <c r="B2041" s="2" t="str">
        <f>CLEAN("MARQUETTE COUNTY")</f>
        <v>MARQUETTE COUNTY</v>
      </c>
      <c r="C2041" s="2" t="s">
        <v>1930</v>
      </c>
      <c r="D2041" s="2" t="str">
        <f>CLEAN("6694-04-01")</f>
        <v>6694-04-01</v>
      </c>
      <c r="E2041" s="3" t="str">
        <f>CLEAN("WESTFIELD - STH 22")</f>
        <v>WESTFIELD - STH 22</v>
      </c>
      <c r="F2041" s="3" t="str">
        <f>CLEAN("7TH COURT TO CTH B")</f>
        <v>7TH COURT TO CTH B</v>
      </c>
      <c r="G2041" s="3" t="str">
        <f>CLEAN("DESIGN/FULL PSE/RECONDITION")</f>
        <v>DESIGN/FULL PSE/RECONDITION</v>
      </c>
      <c r="H2041" s="2" t="str">
        <f>CLEAN("CTH E")</f>
        <v>CTH E</v>
      </c>
      <c r="I2041" s="2" t="str">
        <f t="shared" si="325"/>
        <v>206</v>
      </c>
    </row>
    <row r="2042" spans="1:9" x14ac:dyDescent="0.35">
      <c r="A2042" s="2" t="str">
        <f>CLEAN("MARQUETTE")</f>
        <v>MARQUETTE</v>
      </c>
      <c r="B2042" s="2" t="str">
        <f>CLEAN("MARQUETTE COUNTY")</f>
        <v>MARQUETTE COUNTY</v>
      </c>
      <c r="C2042" s="2" t="s">
        <v>739</v>
      </c>
      <c r="D2042" s="2" t="str">
        <f>CLEAN("6694-04-71")</f>
        <v>6694-04-71</v>
      </c>
      <c r="E2042" s="3" t="str">
        <f>CLEAN("WESTFIELD - STH 22")</f>
        <v>WESTFIELD - STH 22</v>
      </c>
      <c r="F2042" s="3" t="str">
        <f>CLEAN("7TH COURT TO CTH B")</f>
        <v>7TH COURT TO CTH B</v>
      </c>
      <c r="G2042" s="3" t="str">
        <f>CLEAN("CONST/RECONDITION")</f>
        <v>CONST/RECONDITION</v>
      </c>
      <c r="H2042" s="2" t="str">
        <f>CLEAN("CTH E")</f>
        <v>CTH E</v>
      </c>
      <c r="I2042" s="2" t="str">
        <f t="shared" si="325"/>
        <v>206</v>
      </c>
    </row>
    <row r="2043" spans="1:9" x14ac:dyDescent="0.35">
      <c r="A2043" s="2" t="str">
        <f>CLEAN("MARQUETTE")</f>
        <v>MARQUETTE</v>
      </c>
      <c r="B2043" s="2" t="str">
        <f>CLEAN("MARQUETTE COUNTY")</f>
        <v>MARQUETTE COUNTY</v>
      </c>
      <c r="C2043" s="2" t="s">
        <v>2265</v>
      </c>
      <c r="D2043" s="2" t="str">
        <f>CLEAN("6748-02-00")</f>
        <v>6748-02-00</v>
      </c>
      <c r="E2043" s="3" t="str">
        <f>CLEAN("T OXFORD  CTH CX")</f>
        <v>T OXFORD  CTH CX</v>
      </c>
      <c r="F2043" s="3" t="str">
        <f>CLEAN("CHAPMAN CREEK BRIDGE B-39-0013")</f>
        <v>CHAPMAN CREEK BRIDGE B-39-0013</v>
      </c>
      <c r="G2043" s="3" t="str">
        <f>CLEAN("DESIGN/REPLACEMENT")</f>
        <v>DESIGN/REPLACEMENT</v>
      </c>
      <c r="H2043" s="2" t="str">
        <f>CLEAN("CTH CX")</f>
        <v>CTH CX</v>
      </c>
      <c r="I2043" s="2" t="str">
        <f>CLEAN("205")</f>
        <v>205</v>
      </c>
    </row>
    <row r="2044" spans="1:9" x14ac:dyDescent="0.35">
      <c r="A2044" s="2" t="str">
        <f>CLEAN("MARQUETTE")</f>
        <v>MARQUETTE</v>
      </c>
      <c r="B2044" s="2" t="str">
        <f>CLEAN("MARQUETTE COUNTY")</f>
        <v>MARQUETTE COUNTY</v>
      </c>
      <c r="C2044" s="2" t="s">
        <v>2266</v>
      </c>
      <c r="D2044" s="2" t="str">
        <f>CLEAN("6750-00-00")</f>
        <v>6750-00-00</v>
      </c>
      <c r="E2044" s="3" t="str">
        <f>CLEAN("T MONTELLO  14TH ROAD")</f>
        <v>T MONTELLO  14TH ROAD</v>
      </c>
      <c r="F2044" s="3" t="str">
        <f>CLEAN("UP RAILROAD BRIDGE  P-39-0040")</f>
        <v>UP RAILROAD BRIDGE  P-39-0040</v>
      </c>
      <c r="G2044" s="3" t="str">
        <f>CLEAN("DESIGN/REPLACEMENT")</f>
        <v>DESIGN/REPLACEMENT</v>
      </c>
      <c r="H2044" s="2" t="str">
        <f>CLEAN("LOC STR")</f>
        <v>LOC STR</v>
      </c>
      <c r="I2044" s="2" t="str">
        <f>CLEAN("205")</f>
        <v>205</v>
      </c>
    </row>
    <row r="2045" spans="1:9" x14ac:dyDescent="0.35">
      <c r="A2045" s="2" t="str">
        <f>CLEAN("WOOD")</f>
        <v>WOOD</v>
      </c>
      <c r="B2045" s="2" t="str">
        <f>CLEAN("MARSHFIELD UTILITIES")</f>
        <v>MARSHFIELD UTILITIES</v>
      </c>
      <c r="C2045" s="2" t="s">
        <v>1700</v>
      </c>
      <c r="D2045" s="2" t="str">
        <f>CLEAN("6995-11-11")</f>
        <v>6995-11-11</v>
      </c>
      <c r="E2045" s="3" t="str">
        <f>CLEAN("MARSHFIELD STREETLIGHT CONVERSION")</f>
        <v>MARSHFIELD STREETLIGHT CONVERSION</v>
      </c>
      <c r="F2045" s="3" t="str">
        <f>CLEAN("VARIOUS STREET LOCATIONS")</f>
        <v>VARIOUS STREET LOCATIONS</v>
      </c>
      <c r="G2045" s="3" t="str">
        <f>CLEAN("DESIGN OVERSITE/CRP/MISC")</f>
        <v>DESIGN OVERSITE/CRP/MISC</v>
      </c>
      <c r="H2045" s="2" t="str">
        <f>CLEAN("LOC STR")</f>
        <v>LOC STR</v>
      </c>
      <c r="I2045" s="2" t="str">
        <f>CLEAN("206")</f>
        <v>206</v>
      </c>
    </row>
    <row r="2046" spans="1:9" x14ac:dyDescent="0.35">
      <c r="A2046" s="2" t="str">
        <f>CLEAN("WOOD")</f>
        <v>WOOD</v>
      </c>
      <c r="B2046" s="2" t="str">
        <f>CLEAN("MARSHFIELD UTILITIES")</f>
        <v>MARSHFIELD UTILITIES</v>
      </c>
      <c r="C2046" s="2" t="s">
        <v>537</v>
      </c>
      <c r="D2046" s="2" t="str">
        <f>CLEAN("6995-11-81")</f>
        <v>6995-11-81</v>
      </c>
      <c r="E2046" s="3" t="str">
        <f>CLEAN("MARSHFIELD STREETLIGHT CONVERSION")</f>
        <v>MARSHFIELD STREETLIGHT CONVERSION</v>
      </c>
      <c r="F2046" s="3" t="str">
        <f>CLEAN("VARIOUS STREET LOCATIONS")</f>
        <v>VARIOUS STREET LOCATIONS</v>
      </c>
      <c r="G2046" s="3" t="str">
        <f>CLEAN("CONST/CRP/MISC")</f>
        <v>CONST/CRP/MISC</v>
      </c>
      <c r="H2046" s="2" t="str">
        <f>CLEAN("LOC STR")</f>
        <v>LOC STR</v>
      </c>
      <c r="I2046" s="2" t="str">
        <f>CLEAN("206")</f>
        <v>206</v>
      </c>
    </row>
    <row r="2047" spans="1:9" x14ac:dyDescent="0.35">
      <c r="A2047" s="2" t="str">
        <f>CLEAN("MENOMINEE")</f>
        <v>MENOMINEE</v>
      </c>
      <c r="B2047" s="2" t="str">
        <f>CLEAN("MENOMINEE COUNTY")</f>
        <v>MENOMINEE COUNTY</v>
      </c>
      <c r="C2047" s="2" t="s">
        <v>1942</v>
      </c>
      <c r="D2047" s="2" t="str">
        <f>CLEAN("9660-01-04")</f>
        <v>9660-01-04</v>
      </c>
      <c r="E2047" s="3" t="str">
        <f>CLEAN("SHAWANO - LANGLADE")</f>
        <v>SHAWANO - LANGLADE</v>
      </c>
      <c r="F2047" s="3" t="str">
        <f>CLEAN("STH 55 AND CTH M (E) INTERSECTION")</f>
        <v>STH 55 AND CTH M (E) INTERSECTION</v>
      </c>
      <c r="G2047" s="3" t="str">
        <f>CLEAN("DESIGN/FULL PSE/RECONSTRUCT/HSIP")</f>
        <v>DESIGN/FULL PSE/RECONSTRUCT/HSIP</v>
      </c>
      <c r="H2047" s="2" t="str">
        <f>CLEAN("CTH M")</f>
        <v>CTH M</v>
      </c>
      <c r="I2047" s="2" t="str">
        <f>CLEAN("206")</f>
        <v>206</v>
      </c>
    </row>
    <row r="2048" spans="1:9" x14ac:dyDescent="0.35">
      <c r="A2048" s="2" t="str">
        <f>CLEAN("MENOMINEE")</f>
        <v>MENOMINEE</v>
      </c>
      <c r="B2048" s="2" t="str">
        <f>CLEAN("MENOMINEE COUNTY")</f>
        <v>MENOMINEE COUNTY</v>
      </c>
      <c r="C2048" s="2" t="s">
        <v>810</v>
      </c>
      <c r="D2048" s="2" t="str">
        <f>CLEAN("9660-01-74")</f>
        <v>9660-01-74</v>
      </c>
      <c r="E2048" s="3" t="str">
        <f>CLEAN("SHAWANO - LANGLADE")</f>
        <v>SHAWANO - LANGLADE</v>
      </c>
      <c r="F2048" s="3" t="str">
        <f>CLEAN("STH 55 AND CTH M (E) INTERSECTION")</f>
        <v>STH 55 AND CTH M (E) INTERSECTION</v>
      </c>
      <c r="G2048" s="3" t="str">
        <f>CLEAN("CONST/RECONSTRUCT/HSIP")</f>
        <v>CONST/RECONSTRUCT/HSIP</v>
      </c>
      <c r="H2048" s="2" t="str">
        <f>CLEAN("CTH M")</f>
        <v>CTH M</v>
      </c>
      <c r="I2048" s="2" t="str">
        <f>CLEAN("206")</f>
        <v>206</v>
      </c>
    </row>
    <row r="2049" spans="1:9" x14ac:dyDescent="0.35">
      <c r="A2049" s="2" t="str">
        <f>CLEAN("MENOMINEE")</f>
        <v>MENOMINEE</v>
      </c>
      <c r="B2049" s="2" t="str">
        <f>CLEAN("MENOMINEE INDIAN TRIBE")</f>
        <v>MENOMINEE INDIAN TRIBE</v>
      </c>
      <c r="C2049" s="2" t="s">
        <v>3175</v>
      </c>
      <c r="D2049" s="2" t="str">
        <f>CLEAN("9650-17-22")</f>
        <v>9650-17-22</v>
      </c>
      <c r="E2049" s="3" t="str">
        <f>CLEAN("SHAWANO - NEOPIT")</f>
        <v>SHAWANO - NEOPIT</v>
      </c>
      <c r="F2049" s="3" t="str">
        <f>CLEAN("DUQUAINE RD TO TRIBAL OFFICE LOOP")</f>
        <v>DUQUAINE RD TO TRIBAL OFFICE LOOP</v>
      </c>
      <c r="G2049" s="3" t="str">
        <f>CLEAN("REAL ESTATE/RECONSTRUCT")</f>
        <v>REAL ESTATE/RECONSTRUCT</v>
      </c>
      <c r="H2049" s="2" t="str">
        <f>CLEAN("STH 047")</f>
        <v>STH 047</v>
      </c>
      <c r="I2049" s="2" t="str">
        <f>CLEAN("303")</f>
        <v>303</v>
      </c>
    </row>
    <row r="2050" spans="1:9" x14ac:dyDescent="0.35">
      <c r="A2050" s="2" t="str">
        <f t="shared" ref="A2050:A2081" si="326">CLEAN("MILWAUKEE")</f>
        <v>MILWAUKEE</v>
      </c>
      <c r="B2050" s="2" t="str">
        <f>CLEAN("MILWAUKEE CO TRANSIT")</f>
        <v>MILWAUKEE CO TRANSIT</v>
      </c>
      <c r="C2050" s="2" t="s">
        <v>3411</v>
      </c>
      <c r="D2050" s="2" t="str">
        <f>CLEAN("1693-09-13")</f>
        <v>1693-09-13</v>
      </c>
      <c r="E2050" s="3" t="str">
        <f>CLEAN("TRANSIT SYSTEM BUS REPLACEMENT")</f>
        <v>TRANSIT SYSTEM BUS REPLACEMENT</v>
      </c>
      <c r="F2050" s="3" t="str">
        <f>CLEAN("7 MILWAUKEE CO BUSES PHASE 2 OF 2")</f>
        <v>7 MILWAUKEE CO BUSES PHASE 2 OF 2</v>
      </c>
      <c r="G2050" s="3" t="str">
        <f>CLEAN("TST/BUS PURCHASE")</f>
        <v>TST/BUS PURCHASE</v>
      </c>
      <c r="H2050" s="2" t="str">
        <f>CLEAN("NON HWY")</f>
        <v>NON HWY</v>
      </c>
      <c r="I2050" s="2" t="str">
        <f>CLEAN("211")</f>
        <v>211</v>
      </c>
    </row>
    <row r="2051" spans="1:9" x14ac:dyDescent="0.35">
      <c r="A2051" s="2" t="str">
        <f t="shared" si="326"/>
        <v>MILWAUKEE</v>
      </c>
      <c r="B2051" s="2" t="str">
        <f>CLEAN("MILWAUKEE CO TRANSIT")</f>
        <v>MILWAUKEE CO TRANSIT</v>
      </c>
      <c r="C2051" s="2" t="s">
        <v>3414</v>
      </c>
      <c r="D2051" s="2" t="str">
        <f>CLEAN("1693-21-17")</f>
        <v>1693-21-17</v>
      </c>
      <c r="E2051" s="3" t="str">
        <f>CLEAN("MCTS MARKETING PUBLIC OUTREACH")</f>
        <v>MCTS MARKETING PUBLIC OUTREACH</v>
      </c>
      <c r="F2051" s="3" t="str">
        <f>CLEAN("FY 27 INCREASE RIDERSHIP")</f>
        <v>FY 27 INCREASE RIDERSHIP</v>
      </c>
      <c r="G2051" s="3" t="str">
        <f>CLEAN("TST/MARKETING")</f>
        <v>TST/MARKETING</v>
      </c>
      <c r="H2051" s="2" t="str">
        <f>CLEAN("NON HWY")</f>
        <v>NON HWY</v>
      </c>
      <c r="I2051" s="2" t="str">
        <f>CLEAN("211")</f>
        <v>211</v>
      </c>
    </row>
    <row r="2052" spans="1:9" x14ac:dyDescent="0.35">
      <c r="A2052" s="2" t="str">
        <f t="shared" si="326"/>
        <v>MILWAUKEE</v>
      </c>
      <c r="B2052" s="2" t="str">
        <f t="shared" ref="B2052:B2083" si="327">CLEAN("MILWAUKEE COUNTY")</f>
        <v>MILWAUKEE COUNTY</v>
      </c>
      <c r="C2052" s="2" t="s">
        <v>3148</v>
      </c>
      <c r="D2052" s="2" t="str">
        <f>CLEAN("2050-04-20")</f>
        <v>2050-04-20</v>
      </c>
      <c r="E2052" s="3" t="str">
        <f>CLEAN("WEST RAWSON AVENUE")</f>
        <v>WEST RAWSON AVENUE</v>
      </c>
      <c r="F2052" s="3" t="str">
        <f>CLEAN("S 27TH STREET TO S 20TH STREET")</f>
        <v>S 27TH STREET TO S 20TH STREET</v>
      </c>
      <c r="G2052" s="3" t="str">
        <f>CLEAN("RE/RECONSTRUCT W/ NO ADDL LANES")</f>
        <v>RE/RECONSTRUCT W/ NO ADDL LANES</v>
      </c>
      <c r="H2052" s="2" t="str">
        <f>CLEAN("CTH BB")</f>
        <v>CTH BB</v>
      </c>
      <c r="I2052" s="2" t="str">
        <f>CLEAN("206")</f>
        <v>206</v>
      </c>
    </row>
    <row r="2053" spans="1:9" x14ac:dyDescent="0.35">
      <c r="A2053" s="2" t="str">
        <f t="shared" si="326"/>
        <v>MILWAUKEE</v>
      </c>
      <c r="B2053" s="2" t="str">
        <f t="shared" si="327"/>
        <v>MILWAUKEE COUNTY</v>
      </c>
      <c r="C2053" s="2" t="s">
        <v>3066</v>
      </c>
      <c r="D2053" s="2" t="str">
        <f>CLEAN("2050-08-01")</f>
        <v>2050-08-01</v>
      </c>
      <c r="E2053" s="3" t="str">
        <f>CLEAN("C OAK CREEK W RAWSON AVENUE")</f>
        <v>C OAK CREEK W RAWSON AVENUE</v>
      </c>
      <c r="F2053" s="3" t="str">
        <f>CLEAN("S 13TH STREET TO S HOWELL AVENUE")</f>
        <v>S 13TH STREET TO S HOWELL AVENUE</v>
      </c>
      <c r="G2053" s="3" t="str">
        <f>CLEAN("PE-RIGHT OF WAY-FULL PS&amp;E-RECST")</f>
        <v>PE-RIGHT OF WAY-FULL PS&amp;E-RECST</v>
      </c>
      <c r="H2053" s="2" t="str">
        <f>CLEAN("CTH BB")</f>
        <v>CTH BB</v>
      </c>
      <c r="I2053" s="2" t="str">
        <f>CLEAN("206")</f>
        <v>206</v>
      </c>
    </row>
    <row r="2054" spans="1:9" x14ac:dyDescent="0.35">
      <c r="A2054" s="2" t="str">
        <f t="shared" si="326"/>
        <v>MILWAUKEE</v>
      </c>
      <c r="B2054" s="2" t="str">
        <f t="shared" si="327"/>
        <v>MILWAUKEE COUNTY</v>
      </c>
      <c r="C2054" s="2" t="s">
        <v>3146</v>
      </c>
      <c r="D2054" s="2" t="str">
        <f>CLEAN("2050-08-21")</f>
        <v>2050-08-21</v>
      </c>
      <c r="E2054" s="3" t="str">
        <f>CLEAN("C OAK CREEK W RAWSON AVENUE")</f>
        <v>C OAK CREEK W RAWSON AVENUE</v>
      </c>
      <c r="F2054" s="3" t="str">
        <f>CLEAN("S 13TH STREET TO S HOWELL AVENUE")</f>
        <v>S 13TH STREET TO S HOWELL AVENUE</v>
      </c>
      <c r="G2054" s="3" t="str">
        <f>CLEAN("RE/RECONSTRUCT NO ADD'L LANES")</f>
        <v>RE/RECONSTRUCT NO ADD'L LANES</v>
      </c>
      <c r="H2054" s="2" t="str">
        <f>CLEAN("CTH BB")</f>
        <v>CTH BB</v>
      </c>
      <c r="I2054" s="2" t="str">
        <f>CLEAN("206")</f>
        <v>206</v>
      </c>
    </row>
    <row r="2055" spans="1:9" x14ac:dyDescent="0.35">
      <c r="A2055" s="2" t="str">
        <f t="shared" si="326"/>
        <v>MILWAUKEE</v>
      </c>
      <c r="B2055" s="2" t="str">
        <f t="shared" si="327"/>
        <v>MILWAUKEE COUNTY</v>
      </c>
      <c r="C2055" s="2" t="s">
        <v>2739</v>
      </c>
      <c r="D2055" s="2" t="str">
        <f>CLEAN("2070-03-07")</f>
        <v>2070-03-07</v>
      </c>
      <c r="E2055" s="3" t="str">
        <f>CLEAN("C GREENFIELD  CUDAHY  LAYTON AVE")</f>
        <v>C GREENFIELD  CUDAHY  LAYTON AVE</v>
      </c>
      <c r="F2055" s="3" t="str">
        <f>CLEAN("INTERSECTIONS 84TH  68TH  NICHOLSON")</f>
        <v>INTERSECTIONS 84TH  68TH  NICHOLSON</v>
      </c>
      <c r="G2055" s="3" t="str">
        <f>CLEAN("PE/FULL PS&amp;E/MISC")</f>
        <v>PE/FULL PS&amp;E/MISC</v>
      </c>
      <c r="H2055" s="2" t="str">
        <f>CLEAN("CTH Y")</f>
        <v>CTH Y</v>
      </c>
      <c r="I2055" s="2" t="str">
        <f>CLEAN("206")</f>
        <v>206</v>
      </c>
    </row>
    <row r="2056" spans="1:9" x14ac:dyDescent="0.35">
      <c r="A2056" s="2" t="str">
        <f t="shared" si="326"/>
        <v>MILWAUKEE</v>
      </c>
      <c r="B2056" s="2" t="str">
        <f t="shared" si="327"/>
        <v>MILWAUKEE COUNTY</v>
      </c>
      <c r="C2056" s="2" t="s">
        <v>2719</v>
      </c>
      <c r="D2056" s="2" t="str">
        <f>CLEAN("2070-05-05")</f>
        <v>2070-05-05</v>
      </c>
      <c r="E2056" s="3" t="str">
        <f>CLEAN("C GREENFIELD  S 76TH ST")</f>
        <v>C GREENFIELD  S 76TH ST</v>
      </c>
      <c r="F2056" s="3" t="str">
        <f>CLEAN("W LAYTON AVE TO W HOWARD AVE")</f>
        <v>W LAYTON AVE TO W HOWARD AVE</v>
      </c>
      <c r="G2056" s="3" t="str">
        <f>CLEAN("PE/FULL PS&amp;E ROW/RECST")</f>
        <v>PE/FULL PS&amp;E ROW/RECST</v>
      </c>
      <c r="H2056" s="2" t="str">
        <f>CLEAN("CTH U")</f>
        <v>CTH U</v>
      </c>
      <c r="I2056" s="2" t="str">
        <f>CLEAN("206")</f>
        <v>206</v>
      </c>
    </row>
    <row r="2057" spans="1:9" x14ac:dyDescent="0.35">
      <c r="A2057" s="2" t="str">
        <f t="shared" si="326"/>
        <v>MILWAUKEE</v>
      </c>
      <c r="B2057" s="2" t="str">
        <f t="shared" si="327"/>
        <v>MILWAUKEE COUNTY</v>
      </c>
      <c r="C2057" s="2" t="s">
        <v>2839</v>
      </c>
      <c r="D2057" s="2" t="str">
        <f>CLEAN("2070-06-01")</f>
        <v>2070-06-01</v>
      </c>
      <c r="E2057" s="3" t="str">
        <f>CLEAN("C GREENFIELD  W LAYTON AVE")</f>
        <v>C GREENFIELD  W LAYTON AVE</v>
      </c>
      <c r="F2057" s="3" t="str">
        <f>CLEAN("OVER FOREST HOME AVE B40-0163")</f>
        <v>OVER FOREST HOME AVE B40-0163</v>
      </c>
      <c r="G2057" s="3" t="str">
        <f>CLEAN("PE/FULL PSE/BRRHB")</f>
        <v>PE/FULL PSE/BRRHB</v>
      </c>
      <c r="H2057" s="2" t="str">
        <f>CLEAN("CTH Y")</f>
        <v>CTH Y</v>
      </c>
      <c r="I2057" s="2" t="str">
        <f>CLEAN("205")</f>
        <v>205</v>
      </c>
    </row>
    <row r="2058" spans="1:9" x14ac:dyDescent="0.35">
      <c r="A2058" s="2" t="str">
        <f t="shared" si="326"/>
        <v>MILWAUKEE</v>
      </c>
      <c r="B2058" s="2" t="str">
        <f t="shared" si="327"/>
        <v>MILWAUKEE COUNTY</v>
      </c>
      <c r="C2058" s="2" t="s">
        <v>2621</v>
      </c>
      <c r="D2058" s="2" t="str">
        <f>CLEAN("2070-08-01")</f>
        <v>2070-08-01</v>
      </c>
      <c r="E2058" s="3" t="str">
        <f>CLEAN("LAYTON AVE TRAFFIC SIGNAL IMPROVE")</f>
        <v>LAYTON AVE TRAFFIC SIGNAL IMPROVE</v>
      </c>
      <c r="F2058" s="3" t="str">
        <f>CLEAN("S PINE ST TO S PACKARD AVENUE")</f>
        <v>S PINE ST TO S PACKARD AVENUE</v>
      </c>
      <c r="G2058" s="3" t="str">
        <f>CLEAN("PE/ADAPTIVE TRAFFIC SIGNAL SYS")</f>
        <v>PE/ADAPTIVE TRAFFIC SIGNAL SYS</v>
      </c>
      <c r="H2058" s="2" t="str">
        <f>CLEAN("LOC STR")</f>
        <v>LOC STR</v>
      </c>
      <c r="I2058" s="2" t="str">
        <f>CLEAN("211")</f>
        <v>211</v>
      </c>
    </row>
    <row r="2059" spans="1:9" x14ac:dyDescent="0.35">
      <c r="A2059" s="2" t="str">
        <f t="shared" si="326"/>
        <v>MILWAUKEE</v>
      </c>
      <c r="B2059" s="2" t="str">
        <f t="shared" si="327"/>
        <v>MILWAUKEE COUNTY</v>
      </c>
      <c r="C2059" s="2" t="s">
        <v>2620</v>
      </c>
      <c r="D2059" s="2" t="str">
        <f>CLEAN("2070-08-02")</f>
        <v>2070-08-02</v>
      </c>
      <c r="E2059" s="3" t="str">
        <f>CLEAN("LAYTON AVE TRAFFIC SIGNAL IMPROVE")</f>
        <v>LAYTON AVE TRAFFIC SIGNAL IMPROVE</v>
      </c>
      <c r="F2059" s="3" t="str">
        <f>CLEAN("S 76TH ST TO S 47TH ST")</f>
        <v>S 76TH ST TO S 47TH ST</v>
      </c>
      <c r="G2059" s="3" t="str">
        <f>CLEAN("PE/ADAPTIVE TRAFFIC SIGNAL SYS")</f>
        <v>PE/ADAPTIVE TRAFFIC SIGNAL SYS</v>
      </c>
      <c r="H2059" s="2" t="str">
        <f>CLEAN("CTH Y")</f>
        <v>CTH Y</v>
      </c>
      <c r="I2059" s="2" t="str">
        <f>CLEAN("211")</f>
        <v>211</v>
      </c>
    </row>
    <row r="2060" spans="1:9" x14ac:dyDescent="0.35">
      <c r="A2060" s="2" t="str">
        <f t="shared" si="326"/>
        <v>MILWAUKEE</v>
      </c>
      <c r="B2060" s="2" t="str">
        <f t="shared" si="327"/>
        <v>MILWAUKEE COUNTY</v>
      </c>
      <c r="C2060" s="2" t="s">
        <v>2716</v>
      </c>
      <c r="D2060" s="2" t="str">
        <f>CLEAN("2090-08-01")</f>
        <v>2090-08-01</v>
      </c>
      <c r="E2060" s="3" t="str">
        <f>CLEAN("C MILWAUKEE  SILVER SPRING DR")</f>
        <v>C MILWAUKEE  SILVER SPRING DR</v>
      </c>
      <c r="F2060" s="3" t="str">
        <f>CLEAN("N 124TH ST TO W APPLETON AVE")</f>
        <v>N 124TH ST TO W APPLETON AVE</v>
      </c>
      <c r="G2060" s="3" t="str">
        <f>CLEAN("PE/FULL PS&amp;E ROW/RECST")</f>
        <v>PE/FULL PS&amp;E ROW/RECST</v>
      </c>
      <c r="H2060" s="2" t="str">
        <f>CLEAN("CTH E")</f>
        <v>CTH E</v>
      </c>
      <c r="I2060" s="2" t="str">
        <f>CLEAN("206")</f>
        <v>206</v>
      </c>
    </row>
    <row r="2061" spans="1:9" x14ac:dyDescent="0.35">
      <c r="A2061" s="2" t="str">
        <f t="shared" si="326"/>
        <v>MILWAUKEE</v>
      </c>
      <c r="B2061" s="2" t="str">
        <f t="shared" si="327"/>
        <v>MILWAUKEE COUNTY</v>
      </c>
      <c r="C2061" s="2" t="s">
        <v>2865</v>
      </c>
      <c r="D2061" s="2" t="str">
        <f>CLEAN("2130-05-01")</f>
        <v>2130-05-01</v>
      </c>
      <c r="E2061" s="3" t="str">
        <f>CLEAN("C MILWAUKEE  W GOOD HOPE RD")</f>
        <v>C MILWAUKEE  W GOOD HOPE RD</v>
      </c>
      <c r="F2061" s="3" t="str">
        <f>CLEAN("N 76TH ST TO .08 MI EAST")</f>
        <v>N 76TH ST TO .08 MI EAST</v>
      </c>
      <c r="G2061" s="3" t="str">
        <f>CLEAN("PE/FULL PSE/MISC")</f>
        <v>PE/FULL PSE/MISC</v>
      </c>
      <c r="H2061" s="2" t="str">
        <f>CLEAN("CTH PP")</f>
        <v>CTH PP</v>
      </c>
      <c r="I2061" s="2" t="str">
        <f>CLEAN("206")</f>
        <v>206</v>
      </c>
    </row>
    <row r="2062" spans="1:9" x14ac:dyDescent="0.35">
      <c r="A2062" s="2" t="str">
        <f t="shared" si="326"/>
        <v>MILWAUKEE</v>
      </c>
      <c r="B2062" s="2" t="str">
        <f t="shared" si="327"/>
        <v>MILWAUKEE COUNTY</v>
      </c>
      <c r="C2062" s="2" t="s">
        <v>2826</v>
      </c>
      <c r="D2062" s="2" t="str">
        <f>CLEAN("2160-07-03")</f>
        <v>2160-07-03</v>
      </c>
      <c r="E2062" s="3" t="str">
        <f>CLEAN("C GREENFIELD  S 76TH STREET")</f>
        <v>C GREENFIELD  S 76TH STREET</v>
      </c>
      <c r="F2062" s="3" t="str">
        <f>CLEAN("BRIDGE OVER STH 24 B-40-0164")</f>
        <v>BRIDGE OVER STH 24 B-40-0164</v>
      </c>
      <c r="G2062" s="3" t="str">
        <f>CLEAN("PE/FULL PSE/BRIDGE REHAB")</f>
        <v>PE/FULL PSE/BRIDGE REHAB</v>
      </c>
      <c r="H2062" s="2" t="str">
        <f>CLEAN("CTH U")</f>
        <v>CTH U</v>
      </c>
      <c r="I2062" s="2" t="str">
        <f>CLEAN("205")</f>
        <v>205</v>
      </c>
    </row>
    <row r="2063" spans="1:9" x14ac:dyDescent="0.35">
      <c r="A2063" s="2" t="str">
        <f t="shared" si="326"/>
        <v>MILWAUKEE</v>
      </c>
      <c r="B2063" s="2" t="str">
        <f t="shared" si="327"/>
        <v>MILWAUKEE COUNTY</v>
      </c>
      <c r="C2063" s="2" t="s">
        <v>2882</v>
      </c>
      <c r="D2063" s="2" t="str">
        <f>CLEAN("2355-05-01")</f>
        <v>2355-05-01</v>
      </c>
      <c r="E2063" s="3" t="str">
        <f>CLEAN("C MILWAUKEE/OAK CREEK W COLLEGE AVE")</f>
        <v>C MILWAUKEE/OAK CREEK W COLLEGE AVE</v>
      </c>
      <c r="F2063" s="3" t="str">
        <f>CLEAN("INTERSECTION WITH S 13TH ST")</f>
        <v>INTERSECTION WITH S 13TH ST</v>
      </c>
      <c r="G2063" s="3" t="str">
        <f>CLEAN("PE/FULL PSE/RECST")</f>
        <v>PE/FULL PSE/RECST</v>
      </c>
      <c r="H2063" s="2" t="str">
        <f>CLEAN("CTH ZZ")</f>
        <v>CTH ZZ</v>
      </c>
      <c r="I2063" s="2" t="str">
        <f>CLEAN("206")</f>
        <v>206</v>
      </c>
    </row>
    <row r="2064" spans="1:9" x14ac:dyDescent="0.35">
      <c r="A2064" s="2" t="str">
        <f t="shared" si="326"/>
        <v>MILWAUKEE</v>
      </c>
      <c r="B2064" s="2" t="str">
        <f t="shared" si="327"/>
        <v>MILWAUKEE COUNTY</v>
      </c>
      <c r="C2064" s="2" t="s">
        <v>2712</v>
      </c>
      <c r="D2064" s="2" t="str">
        <f>CLEAN("2355-05-02")</f>
        <v>2355-05-02</v>
      </c>
      <c r="E2064" s="3" t="str">
        <f>CLEAN("C MILWAUKEE/OAK CREEK  COLLEGE AVE")</f>
        <v>C MILWAUKEE/OAK CREEK  COLLEGE AVE</v>
      </c>
      <c r="F2064" s="3" t="str">
        <f>CLEAN("S 26TH ST TO S HOWELL AVE")</f>
        <v>S 26TH ST TO S HOWELL AVE</v>
      </c>
      <c r="G2064" s="3" t="str">
        <f>CLEAN("PE/FULL PS&amp;E ROW/RCND10")</f>
        <v>PE/FULL PS&amp;E ROW/RCND10</v>
      </c>
      <c r="H2064" s="2" t="str">
        <f>CLEAN("CTH ZZ")</f>
        <v>CTH ZZ</v>
      </c>
      <c r="I2064" s="2" t="str">
        <f>CLEAN("206")</f>
        <v>206</v>
      </c>
    </row>
    <row r="2065" spans="1:9" x14ac:dyDescent="0.35">
      <c r="A2065" s="2" t="str">
        <f t="shared" si="326"/>
        <v>MILWAUKEE</v>
      </c>
      <c r="B2065" s="2" t="str">
        <f t="shared" si="327"/>
        <v>MILWAUKEE COUNTY</v>
      </c>
      <c r="C2065" s="2" t="s">
        <v>2650</v>
      </c>
      <c r="D2065" s="2" t="str">
        <f>CLEAN("2445-09-01")</f>
        <v>2445-09-01</v>
      </c>
      <c r="E2065" s="3" t="str">
        <f>CLEAN("E NORTH AVENUE")</f>
        <v>E NORTH AVENUE</v>
      </c>
      <c r="F2065" s="3" t="str">
        <f>CLEAN("OVER OAK LEAF BIKE TRAIL B-40-0502")</f>
        <v>OVER OAK LEAF BIKE TRAIL B-40-0502</v>
      </c>
      <c r="G2065" s="3" t="str">
        <f>CLEAN("PE/BRIDGE REPLACEMENT")</f>
        <v>PE/BRIDGE REPLACEMENT</v>
      </c>
      <c r="H2065" s="2" t="str">
        <f>CLEAN("LOC STR")</f>
        <v>LOC STR</v>
      </c>
      <c r="I2065" s="2" t="str">
        <f>CLEAN("205")</f>
        <v>205</v>
      </c>
    </row>
    <row r="2066" spans="1:9" x14ac:dyDescent="0.35">
      <c r="A2066" s="2" t="str">
        <f t="shared" si="326"/>
        <v>MILWAUKEE</v>
      </c>
      <c r="B2066" s="2" t="str">
        <f t="shared" si="327"/>
        <v>MILWAUKEE COUNTY</v>
      </c>
      <c r="C2066" s="2" t="s">
        <v>2953</v>
      </c>
      <c r="D2066" s="2" t="str">
        <f>CLEAN("2505-03-01")</f>
        <v>2505-03-01</v>
      </c>
      <c r="E2066" s="3" t="str">
        <f>CLEAN("SOUTH 13TH STREET")</f>
        <v>SOUTH 13TH STREET</v>
      </c>
      <c r="F2066" s="3" t="str">
        <f>CLEAN("W PUETZ ROAD TO W DREXEL AVENUE")</f>
        <v>W PUETZ ROAD TO W DREXEL AVENUE</v>
      </c>
      <c r="G2066" s="3" t="str">
        <f>CLEAN("PE/RECONSTRUCT W/ NO ADDL LANES")</f>
        <v>PE/RECONSTRUCT W/ NO ADDL LANES</v>
      </c>
      <c r="H2066" s="2" t="str">
        <f>CLEAN("CTH V")</f>
        <v>CTH V</v>
      </c>
      <c r="I2066" s="2" t="str">
        <f>CLEAN("206")</f>
        <v>206</v>
      </c>
    </row>
    <row r="2067" spans="1:9" x14ac:dyDescent="0.35">
      <c r="A2067" s="2" t="str">
        <f t="shared" si="326"/>
        <v>MILWAUKEE</v>
      </c>
      <c r="B2067" s="2" t="str">
        <f t="shared" si="327"/>
        <v>MILWAUKEE COUNTY</v>
      </c>
      <c r="C2067" s="2" t="s">
        <v>3149</v>
      </c>
      <c r="D2067" s="2" t="str">
        <f>CLEAN("2505-03-21")</f>
        <v>2505-03-21</v>
      </c>
      <c r="E2067" s="3" t="str">
        <f>CLEAN("C OAK CREEK S 13TH STREET")</f>
        <v>C OAK CREEK S 13TH STREET</v>
      </c>
      <c r="F2067" s="3" t="str">
        <f>CLEAN("W PUETZ ROAD TO W DREXEL AVENUE")</f>
        <v>W PUETZ ROAD TO W DREXEL AVENUE</v>
      </c>
      <c r="G2067" s="3" t="str">
        <f>CLEAN("RE/RECONSTRUCT W/ NO ADDL LANES")</f>
        <v>RE/RECONSTRUCT W/ NO ADDL LANES</v>
      </c>
      <c r="H2067" s="2" t="str">
        <f>CLEAN("CTH V")</f>
        <v>CTH V</v>
      </c>
      <c r="I2067" s="2" t="str">
        <f>CLEAN("206")</f>
        <v>206</v>
      </c>
    </row>
    <row r="2068" spans="1:9" x14ac:dyDescent="0.35">
      <c r="A2068" s="2" t="str">
        <f t="shared" si="326"/>
        <v>MILWAUKEE</v>
      </c>
      <c r="B2068" s="2" t="str">
        <f t="shared" si="327"/>
        <v>MILWAUKEE COUNTY</v>
      </c>
      <c r="C2068" s="2" t="s">
        <v>2711</v>
      </c>
      <c r="D2068" s="2" t="str">
        <f>CLEAN("2525-05-01")</f>
        <v>2525-05-01</v>
      </c>
      <c r="E2068" s="3" t="str">
        <f>CLEAN("C GREENFIELD  BELOIT RD")</f>
        <v>C GREENFIELD  BELOIT RD</v>
      </c>
      <c r="F2068" s="3" t="str">
        <f>CLEAN("S 108TH ST TO W OKLAHOMA AVE")</f>
        <v>S 108TH ST TO W OKLAHOMA AVE</v>
      </c>
      <c r="G2068" s="3" t="str">
        <f>CLEAN("PE/FULL PS&amp;E ROW/RCND10")</f>
        <v>PE/FULL PS&amp;E ROW/RCND10</v>
      </c>
      <c r="H2068" s="2" t="str">
        <f>CLEAN("CTH T")</f>
        <v>CTH T</v>
      </c>
      <c r="I2068" s="2" t="str">
        <f>CLEAN("206")</f>
        <v>206</v>
      </c>
    </row>
    <row r="2069" spans="1:9" x14ac:dyDescent="0.35">
      <c r="A2069" s="2" t="str">
        <f t="shared" si="326"/>
        <v>MILWAUKEE</v>
      </c>
      <c r="B2069" s="2" t="str">
        <f t="shared" si="327"/>
        <v>MILWAUKEE COUNTY</v>
      </c>
      <c r="C2069" s="2" t="s">
        <v>1053</v>
      </c>
      <c r="D2069" s="2" t="str">
        <f>CLEAN("1060-34-73")</f>
        <v>1060-34-73</v>
      </c>
      <c r="E2069" s="3" t="str">
        <f>CLEAN("ZOO IC  DPW SITE FACILITIES")</f>
        <v>ZOO IC  DPW SITE FACILITIES</v>
      </c>
      <c r="F2069" s="3" t="str">
        <f>CLEAN("MILWAUKEE CO DPW SITE")</f>
        <v>MILWAUKEE CO DPW SITE</v>
      </c>
      <c r="G2069" s="3" t="str">
        <f>CLEAN("CONST/SITE FACILITIES")</f>
        <v>CONST/SITE FACILITIES</v>
      </c>
      <c r="H2069" s="2" t="str">
        <f>CLEAN("USH 045")</f>
        <v>USH 045</v>
      </c>
      <c r="I2069" s="2" t="str">
        <f>CLEAN("301ZO")</f>
        <v>301ZO</v>
      </c>
    </row>
    <row r="2070" spans="1:9" x14ac:dyDescent="0.35">
      <c r="A2070" s="2" t="str">
        <f t="shared" si="326"/>
        <v>MILWAUKEE</v>
      </c>
      <c r="B2070" s="2" t="str">
        <f t="shared" si="327"/>
        <v>MILWAUKEE COUNTY</v>
      </c>
      <c r="C2070" s="2" t="s">
        <v>652</v>
      </c>
      <c r="D2070" s="2" t="str">
        <f>CLEAN("2040-15-73")</f>
        <v>2040-15-73</v>
      </c>
      <c r="E2070" s="3" t="str">
        <f>CLEAN("C FRANKLIN  RYAN RD/ST MARTINS RD")</f>
        <v>C FRANKLIN  RYAN RD/ST MARTINS RD</v>
      </c>
      <c r="F2070" s="3" t="str">
        <f>CLEAN("60TH STREET TO ST MARTINS ROAD")</f>
        <v>60TH STREET TO ST MARTINS ROAD</v>
      </c>
      <c r="G2070" s="3" t="str">
        <f>CLEAN("CONST/PAVE REPLACE")</f>
        <v>CONST/PAVE REPLACE</v>
      </c>
      <c r="H2070" s="2" t="str">
        <f>CLEAN("STH 100")</f>
        <v>STH 100</v>
      </c>
      <c r="I2070" s="2" t="str">
        <f>CLEAN("303")</f>
        <v>303</v>
      </c>
    </row>
    <row r="2071" spans="1:9" x14ac:dyDescent="0.35">
      <c r="A2071" s="2" t="str">
        <f t="shared" si="326"/>
        <v>MILWAUKEE</v>
      </c>
      <c r="B2071" s="2" t="str">
        <f t="shared" si="327"/>
        <v>MILWAUKEE COUNTY</v>
      </c>
      <c r="C2071" s="2" t="s">
        <v>2951</v>
      </c>
      <c r="D2071" s="2" t="str">
        <f>CLEAN("2050-04-00")</f>
        <v>2050-04-00</v>
      </c>
      <c r="E2071" s="3" t="str">
        <f>CLEAN("WEST RAWSON AVENUE")</f>
        <v>WEST RAWSON AVENUE</v>
      </c>
      <c r="F2071" s="3" t="str">
        <f>CLEAN("S 27TH STREET TO S 20TH STREET")</f>
        <v>S 27TH STREET TO S 20TH STREET</v>
      </c>
      <c r="G2071" s="3" t="str">
        <f>CLEAN("PE/RECONSTRUCT W/ NO ADDL LANES")</f>
        <v>PE/RECONSTRUCT W/ NO ADDL LANES</v>
      </c>
      <c r="H2071" s="2" t="str">
        <f>CLEAN("CTH BB")</f>
        <v>CTH BB</v>
      </c>
      <c r="I2071" s="2" t="str">
        <f t="shared" ref="I2071:I2076" si="328">CLEAN("206")</f>
        <v>206</v>
      </c>
    </row>
    <row r="2072" spans="1:9" x14ac:dyDescent="0.35">
      <c r="A2072" s="2" t="str">
        <f t="shared" si="326"/>
        <v>MILWAUKEE</v>
      </c>
      <c r="B2072" s="2" t="str">
        <f t="shared" si="327"/>
        <v>MILWAUKEE COUNTY</v>
      </c>
      <c r="C2072" s="2" t="s">
        <v>804</v>
      </c>
      <c r="D2072" s="2" t="str">
        <f>CLEAN("2050-04-70")</f>
        <v>2050-04-70</v>
      </c>
      <c r="E2072" s="3" t="str">
        <f>CLEAN("WEST RAWSON AVENUE")</f>
        <v>WEST RAWSON AVENUE</v>
      </c>
      <c r="F2072" s="3" t="str">
        <f>CLEAN("S 27TH STREET TO S 20TH STREET")</f>
        <v>S 27TH STREET TO S 20TH STREET</v>
      </c>
      <c r="G2072" s="3" t="str">
        <f>CLEAN("CONST/RECONSTRUCT W/ NO ADDL LANES")</f>
        <v>CONST/RECONSTRUCT W/ NO ADDL LANES</v>
      </c>
      <c r="H2072" s="2" t="str">
        <f>CLEAN("CTH BB")</f>
        <v>CTH BB</v>
      </c>
      <c r="I2072" s="2" t="str">
        <f t="shared" si="328"/>
        <v>206</v>
      </c>
    </row>
    <row r="2073" spans="1:9" x14ac:dyDescent="0.35">
      <c r="A2073" s="2" t="str">
        <f t="shared" si="326"/>
        <v>MILWAUKEE</v>
      </c>
      <c r="B2073" s="2" t="str">
        <f t="shared" si="327"/>
        <v>MILWAUKEE COUNTY</v>
      </c>
      <c r="C2073" s="2" t="s">
        <v>799</v>
      </c>
      <c r="D2073" s="2" t="str">
        <f>CLEAN("2050-08-71")</f>
        <v>2050-08-71</v>
      </c>
      <c r="E2073" s="3" t="str">
        <f>CLEAN("C OAK CREEK W RAWSON AVENUE")</f>
        <v>C OAK CREEK W RAWSON AVENUE</v>
      </c>
      <c r="F2073" s="3" t="str">
        <f>CLEAN("S 13TH STREET TO S HOWELL AVENUE")</f>
        <v>S 13TH STREET TO S HOWELL AVENUE</v>
      </c>
      <c r="G2073" s="3" t="str">
        <f>CLEAN("CONST/RECONSTRUCT NO ADD'L LANES")</f>
        <v>CONST/RECONSTRUCT NO ADD'L LANES</v>
      </c>
      <c r="H2073" s="2" t="str">
        <f>CLEAN("CTH BB")</f>
        <v>CTH BB</v>
      </c>
      <c r="I2073" s="2" t="str">
        <f t="shared" si="328"/>
        <v>206</v>
      </c>
    </row>
    <row r="2074" spans="1:9" x14ac:dyDescent="0.35">
      <c r="A2074" s="2" t="str">
        <f t="shared" si="326"/>
        <v>MILWAUKEE</v>
      </c>
      <c r="B2074" s="2" t="str">
        <f t="shared" si="327"/>
        <v>MILWAUKEE COUNTY</v>
      </c>
      <c r="C2074" s="2" t="s">
        <v>2741</v>
      </c>
      <c r="D2074" s="2" t="str">
        <f>CLEAN("2050-12-00")</f>
        <v>2050-12-00</v>
      </c>
      <c r="E2074" s="3" t="str">
        <f>CLEAN("C FRANKLIN W RAWSON AVENUE")</f>
        <v>C FRANKLIN W RAWSON AVENUE</v>
      </c>
      <c r="F2074" s="3" t="str">
        <f>CLEAN("INTERSECTIONS WITH 68TH 51ST &amp; 31ST")</f>
        <v>INTERSECTIONS WITH 68TH 51ST &amp; 31ST</v>
      </c>
      <c r="G2074" s="3" t="str">
        <f>CLEAN("PE/FULL PS&amp;E/MISC")</f>
        <v>PE/FULL PS&amp;E/MISC</v>
      </c>
      <c r="H2074" s="2" t="str">
        <f>CLEAN("CTH BB")</f>
        <v>CTH BB</v>
      </c>
      <c r="I2074" s="2" t="str">
        <f t="shared" si="328"/>
        <v>206</v>
      </c>
    </row>
    <row r="2075" spans="1:9" x14ac:dyDescent="0.35">
      <c r="A2075" s="2" t="str">
        <f t="shared" si="326"/>
        <v>MILWAUKEE</v>
      </c>
      <c r="B2075" s="2" t="str">
        <f t="shared" si="327"/>
        <v>MILWAUKEE COUNTY</v>
      </c>
      <c r="C2075" s="2" t="s">
        <v>565</v>
      </c>
      <c r="D2075" s="2" t="str">
        <f>CLEAN("2050-12-70")</f>
        <v>2050-12-70</v>
      </c>
      <c r="E2075" s="3" t="str">
        <f>CLEAN("C FRANKLIN W RAWSON AVENUE")</f>
        <v>C FRANKLIN W RAWSON AVENUE</v>
      </c>
      <c r="F2075" s="3" t="str">
        <f>CLEAN("INTERSECTIONS WITH 68TH 51ST &amp; 31ST")</f>
        <v>INTERSECTIONS WITH 68TH 51ST &amp; 31ST</v>
      </c>
      <c r="G2075" s="3" t="str">
        <f>CLEAN("CONST/HSIP")</f>
        <v>CONST/HSIP</v>
      </c>
      <c r="H2075" s="2" t="str">
        <f>CLEAN("CTH BB")</f>
        <v>CTH BB</v>
      </c>
      <c r="I2075" s="2" t="str">
        <f t="shared" si="328"/>
        <v>206</v>
      </c>
    </row>
    <row r="2076" spans="1:9" x14ac:dyDescent="0.35">
      <c r="A2076" s="2" t="str">
        <f t="shared" si="326"/>
        <v>MILWAUKEE</v>
      </c>
      <c r="B2076" s="2" t="str">
        <f t="shared" si="327"/>
        <v>MILWAUKEE COUNTY</v>
      </c>
      <c r="C2076" s="2" t="s">
        <v>1046</v>
      </c>
      <c r="D2076" s="2" t="str">
        <f>CLEAN("2070-03-77")</f>
        <v>2070-03-77</v>
      </c>
      <c r="E2076" s="3" t="str">
        <f>CLEAN("C GREENFIELD  CUDAHY  LAYTON AVE")</f>
        <v>C GREENFIELD  CUDAHY  LAYTON AVE</v>
      </c>
      <c r="F2076" s="3" t="str">
        <f>CLEAN("INTERSECTIONS 84TH  68TH  NICHOLSON")</f>
        <v>INTERSECTIONS 84TH  68TH  NICHOLSON</v>
      </c>
      <c r="G2076" s="3" t="str">
        <f>CLEAN("CONST/SIGNALS")</f>
        <v>CONST/SIGNALS</v>
      </c>
      <c r="H2076" s="2" t="str">
        <f>CLEAN("CTH Y")</f>
        <v>CTH Y</v>
      </c>
      <c r="I2076" s="2" t="str">
        <f t="shared" si="328"/>
        <v>206</v>
      </c>
    </row>
    <row r="2077" spans="1:9" x14ac:dyDescent="0.35">
      <c r="A2077" s="2" t="str">
        <f t="shared" si="326"/>
        <v>MILWAUKEE</v>
      </c>
      <c r="B2077" s="2" t="str">
        <f t="shared" si="327"/>
        <v>MILWAUKEE COUNTY</v>
      </c>
      <c r="C2077" s="2" t="s">
        <v>2588</v>
      </c>
      <c r="D2077" s="2" t="str">
        <f>CLEAN("2070-08-71")</f>
        <v>2070-08-71</v>
      </c>
      <c r="E2077" s="3" t="str">
        <f>CLEAN("LAYTON AVE TRAFFIC SIGNAL IMPROVE")</f>
        <v>LAYTON AVE TRAFFIC SIGNAL IMPROVE</v>
      </c>
      <c r="F2077" s="3" t="str">
        <f>CLEAN("S PINE ST TO S PACKARD AVENUE")</f>
        <v>S PINE ST TO S PACKARD AVENUE</v>
      </c>
      <c r="G2077" s="3" t="str">
        <f>CLEAN("MISC/ADAPTIVE TRAFFIC SIGNAL SYS")</f>
        <v>MISC/ADAPTIVE TRAFFIC SIGNAL SYS</v>
      </c>
      <c r="H2077" s="2" t="str">
        <f>CLEAN("LOC STR")</f>
        <v>LOC STR</v>
      </c>
      <c r="I2077" s="2" t="str">
        <f t="shared" ref="I2077:I2083" si="329">CLEAN("211")</f>
        <v>211</v>
      </c>
    </row>
    <row r="2078" spans="1:9" x14ac:dyDescent="0.35">
      <c r="A2078" s="2" t="str">
        <f t="shared" si="326"/>
        <v>MILWAUKEE</v>
      </c>
      <c r="B2078" s="2" t="str">
        <f t="shared" si="327"/>
        <v>MILWAUKEE COUNTY</v>
      </c>
      <c r="C2078" s="2" t="s">
        <v>2586</v>
      </c>
      <c r="D2078" s="2" t="str">
        <f>CLEAN("2070-08-72")</f>
        <v>2070-08-72</v>
      </c>
      <c r="E2078" s="3" t="str">
        <f>CLEAN("LAYTON AVE TRAFFIC SIGNAL IMPROVE")</f>
        <v>LAYTON AVE TRAFFIC SIGNAL IMPROVE</v>
      </c>
      <c r="F2078" s="3" t="str">
        <f>CLEAN("S 76TH ST TO S 47TH ST")</f>
        <v>S 76TH ST TO S 47TH ST</v>
      </c>
      <c r="G2078" s="3" t="str">
        <f>CLEAN("MISC/ADAPTIVE TRAFFIC SIGNAL SYS")</f>
        <v>MISC/ADAPTIVE TRAFFIC SIGNAL SYS</v>
      </c>
      <c r="H2078" s="2" t="str">
        <f>CLEAN("CTH Y")</f>
        <v>CTH Y</v>
      </c>
      <c r="I2078" s="2" t="str">
        <f t="shared" si="329"/>
        <v>211</v>
      </c>
    </row>
    <row r="2079" spans="1:9" x14ac:dyDescent="0.35">
      <c r="A2079" s="2" t="str">
        <f t="shared" si="326"/>
        <v>MILWAUKEE</v>
      </c>
      <c r="B2079" s="2" t="str">
        <f t="shared" si="327"/>
        <v>MILWAUKEE COUNTY</v>
      </c>
      <c r="C2079" s="2" t="s">
        <v>2587</v>
      </c>
      <c r="D2079" s="2" t="str">
        <f>CLEAN("2070-08-81")</f>
        <v>2070-08-81</v>
      </c>
      <c r="E2079" s="3" t="str">
        <f>CLEAN("LAYTON AVE TRAFFIC SIGNAL IMPROVE")</f>
        <v>LAYTON AVE TRAFFIC SIGNAL IMPROVE</v>
      </c>
      <c r="F2079" s="3" t="str">
        <f>CLEAN("S PINE ST TO S PACKARD AVENUE")</f>
        <v>S PINE ST TO S PACKARD AVENUE</v>
      </c>
      <c r="G2079" s="3" t="str">
        <f>CLEAN("MISC/ADAPTIVE TRAFFIC SIGNAL SYS")</f>
        <v>MISC/ADAPTIVE TRAFFIC SIGNAL SYS</v>
      </c>
      <c r="H2079" s="2" t="str">
        <f>CLEAN("LOC STR")</f>
        <v>LOC STR</v>
      </c>
      <c r="I2079" s="2" t="str">
        <f t="shared" si="329"/>
        <v>211</v>
      </c>
    </row>
    <row r="2080" spans="1:9" x14ac:dyDescent="0.35">
      <c r="A2080" s="2" t="str">
        <f t="shared" si="326"/>
        <v>MILWAUKEE</v>
      </c>
      <c r="B2080" s="2" t="str">
        <f t="shared" si="327"/>
        <v>MILWAUKEE COUNTY</v>
      </c>
      <c r="C2080" s="2" t="s">
        <v>2580</v>
      </c>
      <c r="D2080" s="2" t="str">
        <f>CLEAN("2070-08-82")</f>
        <v>2070-08-82</v>
      </c>
      <c r="E2080" s="3" t="str">
        <f>CLEAN("LAYTON AVE TRAFFIC SIGNAL IMPROVE")</f>
        <v>LAYTON AVE TRAFFIC SIGNAL IMPROVE</v>
      </c>
      <c r="F2080" s="3" t="str">
        <f>CLEAN("S 76TH ST TO S 47TH ST")</f>
        <v>S 76TH ST TO S 47TH ST</v>
      </c>
      <c r="G2080" s="3" t="str">
        <f>CLEAN("MIS/PROCUREMENT")</f>
        <v>MIS/PROCUREMENT</v>
      </c>
      <c r="H2080" s="2" t="str">
        <f>CLEAN("CTH Y")</f>
        <v>CTH Y</v>
      </c>
      <c r="I2080" s="2" t="str">
        <f t="shared" si="329"/>
        <v>211</v>
      </c>
    </row>
    <row r="2081" spans="1:9" x14ac:dyDescent="0.35">
      <c r="A2081" s="2" t="str">
        <f t="shared" si="326"/>
        <v>MILWAUKEE</v>
      </c>
      <c r="B2081" s="2" t="str">
        <f t="shared" si="327"/>
        <v>MILWAUKEE COUNTY</v>
      </c>
      <c r="C2081" s="2" t="s">
        <v>2622</v>
      </c>
      <c r="D2081" s="2" t="str">
        <f>CLEAN("2090-14-00")</f>
        <v>2090-14-00</v>
      </c>
      <c r="E2081" s="3" t="str">
        <f>CLEAN("SILVER SPRING DRIVE")</f>
        <v>SILVER SPRING DRIVE</v>
      </c>
      <c r="F2081" s="3" t="str">
        <f>CLEAN("124TH ST TO 91ST ST")</f>
        <v>124TH ST TO 91ST ST</v>
      </c>
      <c r="G2081" s="3" t="str">
        <f>CLEAN("PE/ADAPTIVE TRAFFIC SIGNAL SYSTEM")</f>
        <v>PE/ADAPTIVE TRAFFIC SIGNAL SYSTEM</v>
      </c>
      <c r="H2081" s="2" t="str">
        <f>CLEAN("VAR HWY")</f>
        <v>VAR HWY</v>
      </c>
      <c r="I2081" s="2" t="str">
        <f t="shared" si="329"/>
        <v>211</v>
      </c>
    </row>
    <row r="2082" spans="1:9" x14ac:dyDescent="0.35">
      <c r="A2082" s="2" t="str">
        <f t="shared" ref="A2082:A2113" si="330">CLEAN("MILWAUKEE")</f>
        <v>MILWAUKEE</v>
      </c>
      <c r="B2082" s="2" t="str">
        <f t="shared" si="327"/>
        <v>MILWAUKEE COUNTY</v>
      </c>
      <c r="C2082" s="2" t="s">
        <v>2573</v>
      </c>
      <c r="D2082" s="2" t="str">
        <f>CLEAN("2090-14-70")</f>
        <v>2090-14-70</v>
      </c>
      <c r="E2082" s="3" t="str">
        <f>CLEAN("C MILWAUKEE SILVER SPRING DRIVE")</f>
        <v>C MILWAUKEE SILVER SPRING DRIVE</v>
      </c>
      <c r="F2082" s="3" t="str">
        <f>CLEAN("124TH ST TO 91ST ST")</f>
        <v>124TH ST TO 91ST ST</v>
      </c>
      <c r="G2082" s="3" t="str">
        <f>CLEAN("MIS/ADAPTIVE TRAFFIC SIGNAL SYS")</f>
        <v>MIS/ADAPTIVE TRAFFIC SIGNAL SYS</v>
      </c>
      <c r="H2082" s="2" t="str">
        <f>CLEAN("VAR HWY")</f>
        <v>VAR HWY</v>
      </c>
      <c r="I2082" s="2" t="str">
        <f t="shared" si="329"/>
        <v>211</v>
      </c>
    </row>
    <row r="2083" spans="1:9" x14ac:dyDescent="0.35">
      <c r="A2083" s="2" t="str">
        <f t="shared" si="330"/>
        <v>MILWAUKEE</v>
      </c>
      <c r="B2083" s="2" t="str">
        <f t="shared" si="327"/>
        <v>MILWAUKEE COUNTY</v>
      </c>
      <c r="C2083" s="2" t="s">
        <v>3087</v>
      </c>
      <c r="D2083" s="2" t="str">
        <f>CLEAN("2090-14-80")</f>
        <v>2090-14-80</v>
      </c>
      <c r="E2083" s="3" t="str">
        <f>CLEAN("C MILWAUKEE SILVER SPRING DRIVE")</f>
        <v>C MILWAUKEE SILVER SPRING DRIVE</v>
      </c>
      <c r="F2083" s="3" t="str">
        <f>CLEAN("124TH ST TO 91ST ST")</f>
        <v>124TH ST TO 91ST ST</v>
      </c>
      <c r="G2083" s="3" t="str">
        <f>CLEAN("PROCUREMENT")</f>
        <v>PROCUREMENT</v>
      </c>
      <c r="H2083" s="2" t="str">
        <f>CLEAN("VAR HWY")</f>
        <v>VAR HWY</v>
      </c>
      <c r="I2083" s="2" t="str">
        <f t="shared" si="329"/>
        <v>211</v>
      </c>
    </row>
    <row r="2084" spans="1:9" x14ac:dyDescent="0.35">
      <c r="A2084" s="2" t="str">
        <f t="shared" si="330"/>
        <v>MILWAUKEE</v>
      </c>
      <c r="B2084" s="2" t="str">
        <f t="shared" ref="B2084:B2119" si="331">CLEAN("MILWAUKEE COUNTY")</f>
        <v>MILWAUKEE COUNTY</v>
      </c>
      <c r="C2084" s="2" t="s">
        <v>2652</v>
      </c>
      <c r="D2084" s="2" t="str">
        <f>CLEAN("2130-15-00")</f>
        <v>2130-15-00</v>
      </c>
      <c r="E2084" s="3" t="str">
        <f>CLEAN("CTH PP (GOOD HOPE ROAD)")</f>
        <v>CTH PP (GOOD HOPE ROAD)</v>
      </c>
      <c r="F2084" s="3" t="str">
        <f>CLEAN("BRIDGE OVER MILWAUKEE RIVER")</f>
        <v>BRIDGE OVER MILWAUKEE RIVER</v>
      </c>
      <c r="G2084" s="3" t="str">
        <f>CLEAN("PE/BRIDGE REPLACEMENT B-40-0370")</f>
        <v>PE/BRIDGE REPLACEMENT B-40-0370</v>
      </c>
      <c r="H2084" s="2" t="str">
        <f>CLEAN("CTH PP")</f>
        <v>CTH PP</v>
      </c>
      <c r="I2084" s="2" t="str">
        <f t="shared" ref="I2084:I2090" si="332">CLEAN("205")</f>
        <v>205</v>
      </c>
    </row>
    <row r="2085" spans="1:9" x14ac:dyDescent="0.35">
      <c r="A2085" s="2" t="str">
        <f t="shared" si="330"/>
        <v>MILWAUKEE</v>
      </c>
      <c r="B2085" s="2" t="str">
        <f t="shared" si="331"/>
        <v>MILWAUKEE COUNTY</v>
      </c>
      <c r="C2085" s="2" t="s">
        <v>476</v>
      </c>
      <c r="D2085" s="2" t="str">
        <f>CLEAN("2130-15-70")</f>
        <v>2130-15-70</v>
      </c>
      <c r="E2085" s="3" t="str">
        <f>CLEAN("CTH PP (GOOD HOPE ROAD)")</f>
        <v>CTH PP (GOOD HOPE ROAD)</v>
      </c>
      <c r="F2085" s="3" t="str">
        <f>CLEAN("BRIDGE OVER BR MILWAUKEE RIVER")</f>
        <v>BRIDGE OVER BR MILWAUKEE RIVER</v>
      </c>
      <c r="G2085" s="3" t="str">
        <f>CLEAN("CONST/BRIDGE REPLACEMENT B-40-0370")</f>
        <v>CONST/BRIDGE REPLACEMENT B-40-0370</v>
      </c>
      <c r="H2085" s="2" t="str">
        <f>CLEAN("CTH PP")</f>
        <v>CTH PP</v>
      </c>
      <c r="I2085" s="2" t="str">
        <f t="shared" si="332"/>
        <v>205</v>
      </c>
    </row>
    <row r="2086" spans="1:9" x14ac:dyDescent="0.35">
      <c r="A2086" s="2" t="str">
        <f t="shared" si="330"/>
        <v>MILWAUKEE</v>
      </c>
      <c r="B2086" s="2" t="str">
        <f t="shared" si="331"/>
        <v>MILWAUKEE COUNTY</v>
      </c>
      <c r="C2086" s="2" t="s">
        <v>383</v>
      </c>
      <c r="D2086" s="2" t="str">
        <f>CLEAN("2160-07-73")</f>
        <v>2160-07-73</v>
      </c>
      <c r="E2086" s="3" t="str">
        <f>CLEAN("C GREENFIELD  S 76TH STREET")</f>
        <v>C GREENFIELD  S 76TH STREET</v>
      </c>
      <c r="F2086" s="3" t="str">
        <f>CLEAN("BRIDGE OVER STH 24 B-40-0164")</f>
        <v>BRIDGE OVER STH 24 B-40-0164</v>
      </c>
      <c r="G2086" s="3" t="str">
        <f>CLEAN("CONST/BRIDGE REHAB")</f>
        <v>CONST/BRIDGE REHAB</v>
      </c>
      <c r="H2086" s="2" t="str">
        <f>CLEAN("CTH U")</f>
        <v>CTH U</v>
      </c>
      <c r="I2086" s="2" t="str">
        <f t="shared" si="332"/>
        <v>205</v>
      </c>
    </row>
    <row r="2087" spans="1:9" x14ac:dyDescent="0.35">
      <c r="A2087" s="2" t="str">
        <f t="shared" si="330"/>
        <v>MILWAUKEE</v>
      </c>
      <c r="B2087" s="2" t="str">
        <f t="shared" si="331"/>
        <v>MILWAUKEE COUNTY</v>
      </c>
      <c r="C2087" s="2" t="s">
        <v>2660</v>
      </c>
      <c r="D2087" s="2" t="str">
        <f>CLEAN("2160-17-00")</f>
        <v>2160-17-00</v>
      </c>
      <c r="E2087" s="3" t="str">
        <f>CLEAN("S 76TH STREET (NB)")</f>
        <v>S 76TH STREET (NB)</v>
      </c>
      <c r="F2087" s="3" t="str">
        <f>CLEAN("BRIDGE OVER STH 36 B-40-0573")</f>
        <v>BRIDGE OVER STH 36 B-40-0573</v>
      </c>
      <c r="G2087" s="3" t="str">
        <f>CLEAN("PE/DECK OVERLAY")</f>
        <v>PE/DECK OVERLAY</v>
      </c>
      <c r="H2087" s="2" t="str">
        <f>CLEAN("CTH U")</f>
        <v>CTH U</v>
      </c>
      <c r="I2087" s="2" t="str">
        <f t="shared" si="332"/>
        <v>205</v>
      </c>
    </row>
    <row r="2088" spans="1:9" x14ac:dyDescent="0.35">
      <c r="A2088" s="2" t="str">
        <f t="shared" si="330"/>
        <v>MILWAUKEE</v>
      </c>
      <c r="B2088" s="2" t="str">
        <f t="shared" si="331"/>
        <v>MILWAUKEE COUNTY</v>
      </c>
      <c r="C2088" s="2" t="s">
        <v>544</v>
      </c>
      <c r="D2088" s="2" t="str">
        <f>CLEAN("2160-17-70")</f>
        <v>2160-17-70</v>
      </c>
      <c r="E2088" s="3" t="str">
        <f>CLEAN("S 76TH STREET (NB)")</f>
        <v>S 76TH STREET (NB)</v>
      </c>
      <c r="F2088" s="3" t="str">
        <f>CLEAN("BRIDGE OVER STH 36 B-40-0573")</f>
        <v>BRIDGE OVER STH 36 B-40-0573</v>
      </c>
      <c r="G2088" s="3" t="str">
        <f>CLEAN("CONST/DECK OVERLAY")</f>
        <v>CONST/DECK OVERLAY</v>
      </c>
      <c r="H2088" s="2" t="str">
        <f>CLEAN("CTH U")</f>
        <v>CTH U</v>
      </c>
      <c r="I2088" s="2" t="str">
        <f t="shared" si="332"/>
        <v>205</v>
      </c>
    </row>
    <row r="2089" spans="1:9" x14ac:dyDescent="0.35">
      <c r="A2089" s="2" t="str">
        <f t="shared" si="330"/>
        <v>MILWAUKEE</v>
      </c>
      <c r="B2089" s="2" t="str">
        <f t="shared" si="331"/>
        <v>MILWAUKEE COUNTY</v>
      </c>
      <c r="C2089" s="2" t="s">
        <v>2633</v>
      </c>
      <c r="D2089" s="2" t="str">
        <f>CLEAN("2160-18-00")</f>
        <v>2160-18-00</v>
      </c>
      <c r="E2089" s="3" t="str">
        <f>CLEAN("S 76TH STREET (SB)")</f>
        <v>S 76TH STREET (SB)</v>
      </c>
      <c r="F2089" s="3" t="str">
        <f>CLEAN("BRIDGE OVER STH 36 B-40-574")</f>
        <v>BRIDGE OVER STH 36 B-40-574</v>
      </c>
      <c r="G2089" s="3" t="str">
        <f>CLEAN("PE/BRIDGE REHAB")</f>
        <v>PE/BRIDGE REHAB</v>
      </c>
      <c r="H2089" s="2" t="str">
        <f>CLEAN("CTH U")</f>
        <v>CTH U</v>
      </c>
      <c r="I2089" s="2" t="str">
        <f t="shared" si="332"/>
        <v>205</v>
      </c>
    </row>
    <row r="2090" spans="1:9" x14ac:dyDescent="0.35">
      <c r="A2090" s="2" t="str">
        <f t="shared" si="330"/>
        <v>MILWAUKEE</v>
      </c>
      <c r="B2090" s="2" t="str">
        <f t="shared" si="331"/>
        <v>MILWAUKEE COUNTY</v>
      </c>
      <c r="C2090" s="2" t="s">
        <v>384</v>
      </c>
      <c r="D2090" s="2" t="str">
        <f>CLEAN("2160-18-70")</f>
        <v>2160-18-70</v>
      </c>
      <c r="E2090" s="3" t="str">
        <f>CLEAN("S 76TH STREET (SB)")</f>
        <v>S 76TH STREET (SB)</v>
      </c>
      <c r="F2090" s="3" t="str">
        <f>CLEAN("BRIDGE OVER STH 36 B-40-574")</f>
        <v>BRIDGE OVER STH 36 B-40-574</v>
      </c>
      <c r="G2090" s="3" t="str">
        <f>CLEAN("CONST/BRIDGE REHAB")</f>
        <v>CONST/BRIDGE REHAB</v>
      </c>
      <c r="H2090" s="2" t="str">
        <f>CLEAN("CTH U")</f>
        <v>CTH U</v>
      </c>
      <c r="I2090" s="2" t="str">
        <f t="shared" si="332"/>
        <v>205</v>
      </c>
    </row>
    <row r="2091" spans="1:9" x14ac:dyDescent="0.35">
      <c r="A2091" s="2" t="str">
        <f t="shared" si="330"/>
        <v>MILWAUKEE</v>
      </c>
      <c r="B2091" s="2" t="str">
        <f t="shared" si="331"/>
        <v>MILWAUKEE COUNTY</v>
      </c>
      <c r="C2091" s="2" t="s">
        <v>3064</v>
      </c>
      <c r="D2091" s="2" t="str">
        <f>CLEAN("2160-19-00")</f>
        <v>2160-19-00</v>
      </c>
      <c r="E2091" s="3" t="str">
        <f>CLEAN("GREENFIELD - WEST ALLIS")</f>
        <v>GREENFIELD - WEST ALLIS</v>
      </c>
      <c r="F2091" s="3" t="str">
        <f>CLEAN("OKLAHOMA-COLD SPRING &amp; 92ND-76TH")</f>
        <v>OKLAHOMA-COLD SPRING &amp; 92ND-76TH</v>
      </c>
      <c r="G2091" s="3" t="str">
        <f>CLEAN("PE-PROCURE TRAFF ADAPT SYSTEM")</f>
        <v>PE-PROCURE TRAFF ADAPT SYSTEM</v>
      </c>
      <c r="H2091" s="2" t="str">
        <f>CLEAN("LOC STR")</f>
        <v>LOC STR</v>
      </c>
      <c r="I2091" s="2" t="str">
        <f>CLEAN("211")</f>
        <v>211</v>
      </c>
    </row>
    <row r="2092" spans="1:9" x14ac:dyDescent="0.35">
      <c r="A2092" s="2" t="str">
        <f t="shared" si="330"/>
        <v>MILWAUKEE</v>
      </c>
      <c r="B2092" s="2" t="str">
        <f t="shared" si="331"/>
        <v>MILWAUKEE COUNTY</v>
      </c>
      <c r="C2092" s="2" t="s">
        <v>24</v>
      </c>
      <c r="D2092" s="2" t="str">
        <f>CLEAN("2160-19-70")</f>
        <v>2160-19-70</v>
      </c>
      <c r="E2092" s="3" t="str">
        <f>CLEAN("GREENFIELD - WEST ALLIS")</f>
        <v>GREENFIELD - WEST ALLIS</v>
      </c>
      <c r="F2092" s="3" t="str">
        <f>CLEAN("OKLAHOMA-COLD SPRING &amp; 92ND-76TH")</f>
        <v>OKLAHOMA-COLD SPRING &amp; 92ND-76TH</v>
      </c>
      <c r="G2092" s="3" t="str">
        <f>CLEAN("CNST/ADAPTIVE TRAFFIC SIGNAL SYSTEM")</f>
        <v>CNST/ADAPTIVE TRAFFIC SIGNAL SYSTEM</v>
      </c>
      <c r="H2092" s="2" t="str">
        <f>CLEAN("LOC STR")</f>
        <v>LOC STR</v>
      </c>
      <c r="I2092" s="2" t="str">
        <f>CLEAN("211")</f>
        <v>211</v>
      </c>
    </row>
    <row r="2093" spans="1:9" x14ac:dyDescent="0.35">
      <c r="A2093" s="2" t="str">
        <f t="shared" si="330"/>
        <v>MILWAUKEE</v>
      </c>
      <c r="B2093" s="2" t="str">
        <f t="shared" si="331"/>
        <v>MILWAUKEE COUNTY</v>
      </c>
      <c r="C2093" s="2" t="s">
        <v>699</v>
      </c>
      <c r="D2093" s="2" t="str">
        <f>CLEAN("2160-19-80")</f>
        <v>2160-19-80</v>
      </c>
      <c r="E2093" s="3" t="str">
        <f>CLEAN("GREENFIELD - WEST ALLIS")</f>
        <v>GREENFIELD - WEST ALLIS</v>
      </c>
      <c r="F2093" s="3" t="str">
        <f>CLEAN("OKLAHOMA-COLD SPRING &amp; 92ND-76TH")</f>
        <v>OKLAHOMA-COLD SPRING &amp; 92ND-76TH</v>
      </c>
      <c r="G2093" s="3" t="str">
        <f>CLEAN("CONST/PROCUREMENT")</f>
        <v>CONST/PROCUREMENT</v>
      </c>
      <c r="H2093" s="2" t="str">
        <f>CLEAN("LOC STR")</f>
        <v>LOC STR</v>
      </c>
      <c r="I2093" s="2" t="str">
        <f>CLEAN("211")</f>
        <v>211</v>
      </c>
    </row>
    <row r="2094" spans="1:9" x14ac:dyDescent="0.35">
      <c r="A2094" s="2" t="str">
        <f t="shared" si="330"/>
        <v>MILWAUKEE</v>
      </c>
      <c r="B2094" s="2" t="str">
        <f t="shared" si="331"/>
        <v>MILWAUKEE COUNTY</v>
      </c>
      <c r="C2094" s="2" t="s">
        <v>2857</v>
      </c>
      <c r="D2094" s="2" t="str">
        <f>CLEAN("2305-02-00")</f>
        <v>2305-02-00</v>
      </c>
      <c r="E2094" s="3" t="str">
        <f>CLEAN("C FRANKLIN FOREST HOME AVENUE")</f>
        <v>C FRANKLIN FOREST HOME AVENUE</v>
      </c>
      <c r="F2094" s="3" t="str">
        <f>CLEAN("INTERSECT WITH SPEEDWAY")</f>
        <v>INTERSECT WITH SPEEDWAY</v>
      </c>
      <c r="G2094" s="3" t="str">
        <f>CLEAN("PE/FULL PSE/MISC")</f>
        <v>PE/FULL PSE/MISC</v>
      </c>
      <c r="H2094" s="2" t="str">
        <f>CLEAN("CTH OO")</f>
        <v>CTH OO</v>
      </c>
      <c r="I2094" s="2" t="str">
        <f>CLEAN("206")</f>
        <v>206</v>
      </c>
    </row>
    <row r="2095" spans="1:9" x14ac:dyDescent="0.35">
      <c r="A2095" s="2" t="str">
        <f t="shared" si="330"/>
        <v>MILWAUKEE</v>
      </c>
      <c r="B2095" s="2" t="str">
        <f t="shared" si="331"/>
        <v>MILWAUKEE COUNTY</v>
      </c>
      <c r="C2095" s="2" t="s">
        <v>555</v>
      </c>
      <c r="D2095" s="2" t="str">
        <f>CLEAN("2305-02-70")</f>
        <v>2305-02-70</v>
      </c>
      <c r="E2095" s="3" t="str">
        <f>CLEAN("C FRANKLIN FOREST HOME AVENUE")</f>
        <v>C FRANKLIN FOREST HOME AVENUE</v>
      </c>
      <c r="F2095" s="3" t="str">
        <f>CLEAN("INTERSECT WITH SPEEDWAY")</f>
        <v>INTERSECT WITH SPEEDWAY</v>
      </c>
      <c r="G2095" s="3" t="str">
        <f>CLEAN("CONST/FULL PS/MISC")</f>
        <v>CONST/FULL PS/MISC</v>
      </c>
      <c r="H2095" s="2" t="str">
        <f>CLEAN("CTH OO")</f>
        <v>CTH OO</v>
      </c>
      <c r="I2095" s="2" t="str">
        <f>CLEAN("206")</f>
        <v>206</v>
      </c>
    </row>
    <row r="2096" spans="1:9" x14ac:dyDescent="0.35">
      <c r="A2096" s="2" t="str">
        <f t="shared" si="330"/>
        <v>MILWAUKEE</v>
      </c>
      <c r="B2096" s="2" t="str">
        <f t="shared" si="331"/>
        <v>MILWAUKEE COUNTY</v>
      </c>
      <c r="C2096" s="2" t="s">
        <v>2734</v>
      </c>
      <c r="D2096" s="2" t="str">
        <f>CLEAN("2355-08-00")</f>
        <v>2355-08-00</v>
      </c>
      <c r="E2096" s="3" t="str">
        <f>CLEAN("C OAK CREEK - MILWAUKEE")</f>
        <v>C OAK CREEK - MILWAUKEE</v>
      </c>
      <c r="F2096" s="3" t="str">
        <f>CLEAN("INTERSECTION WITH 20TH STREET")</f>
        <v>INTERSECTION WITH 20TH STREET</v>
      </c>
      <c r="G2096" s="3" t="str">
        <f>CLEAN("PE/FULL PS&amp;E/MISC")</f>
        <v>PE/FULL PS&amp;E/MISC</v>
      </c>
      <c r="H2096" s="2" t="str">
        <f>CLEAN("CTH ZZ")</f>
        <v>CTH ZZ</v>
      </c>
      <c r="I2096" s="2" t="str">
        <f>CLEAN("206")</f>
        <v>206</v>
      </c>
    </row>
    <row r="2097" spans="1:9" x14ac:dyDescent="0.35">
      <c r="A2097" s="2" t="str">
        <f t="shared" si="330"/>
        <v>MILWAUKEE</v>
      </c>
      <c r="B2097" s="2" t="str">
        <f t="shared" si="331"/>
        <v>MILWAUKEE COUNTY</v>
      </c>
      <c r="C2097" s="2" t="s">
        <v>458</v>
      </c>
      <c r="D2097" s="2" t="str">
        <f>CLEAN("2445-09-71")</f>
        <v>2445-09-71</v>
      </c>
      <c r="E2097" s="3" t="str">
        <f>CLEAN("E NORTH AVENUE")</f>
        <v>E NORTH AVENUE</v>
      </c>
      <c r="F2097" s="3" t="str">
        <f>CLEAN("OVER OAK LEAF BIKE TRAIL B-40-0502")</f>
        <v>OVER OAK LEAF BIKE TRAIL B-40-0502</v>
      </c>
      <c r="G2097" s="3" t="str">
        <f>CLEAN("CONST/BRIDGE REPLACEMENT")</f>
        <v>CONST/BRIDGE REPLACEMENT</v>
      </c>
      <c r="H2097" s="2" t="str">
        <f>CLEAN("LOC STR")</f>
        <v>LOC STR</v>
      </c>
      <c r="I2097" s="2" t="str">
        <f>CLEAN("205")</f>
        <v>205</v>
      </c>
    </row>
    <row r="2098" spans="1:9" x14ac:dyDescent="0.35">
      <c r="A2098" s="2" t="str">
        <f t="shared" si="330"/>
        <v>MILWAUKEE</v>
      </c>
      <c r="B2098" s="2" t="str">
        <f t="shared" si="331"/>
        <v>MILWAUKEE COUNTY</v>
      </c>
      <c r="C2098" s="2" t="s">
        <v>783</v>
      </c>
      <c r="D2098" s="2" t="str">
        <f>CLEAN("2505-00-73")</f>
        <v>2505-00-73</v>
      </c>
      <c r="E2098" s="3" t="str">
        <f>CLEAN("SOUTH 13TH STREET")</f>
        <v>SOUTH 13TH STREET</v>
      </c>
      <c r="F2098" s="3" t="str">
        <f>CLEAN("W DREXEL AVE TO W RAWSON AVE")</f>
        <v>W DREXEL AVE TO W RAWSON AVE</v>
      </c>
      <c r="G2098" s="3" t="str">
        <f>CLEAN("CONST/RECONSTRUCT")</f>
        <v>CONST/RECONSTRUCT</v>
      </c>
      <c r="H2098" s="2" t="str">
        <f>CLEAN("CTH V")</f>
        <v>CTH V</v>
      </c>
      <c r="I2098" s="2" t="str">
        <f>CLEAN("206")</f>
        <v>206</v>
      </c>
    </row>
    <row r="2099" spans="1:9" x14ac:dyDescent="0.35">
      <c r="A2099" s="2" t="str">
        <f t="shared" si="330"/>
        <v>MILWAUKEE</v>
      </c>
      <c r="B2099" s="2" t="str">
        <f t="shared" si="331"/>
        <v>MILWAUKEE COUNTY</v>
      </c>
      <c r="C2099" s="2" t="s">
        <v>795</v>
      </c>
      <c r="D2099" s="2" t="str">
        <f>CLEAN("2505-03-71")</f>
        <v>2505-03-71</v>
      </c>
      <c r="E2099" s="3" t="str">
        <f>CLEAN("C OAK CREEK S 13TH STREET")</f>
        <v>C OAK CREEK S 13TH STREET</v>
      </c>
      <c r="F2099" s="3" t="str">
        <f>CLEAN("W PUETZ ROAD TO W DREXEL AVENUE")</f>
        <v>W PUETZ ROAD TO W DREXEL AVENUE</v>
      </c>
      <c r="G2099" s="3" t="str">
        <f>CLEAN("CONST/RECONSTRUCT NO ADDL LANES")</f>
        <v>CONST/RECONSTRUCT NO ADDL LANES</v>
      </c>
      <c r="H2099" s="2" t="str">
        <f>CLEAN("CTH V")</f>
        <v>CTH V</v>
      </c>
      <c r="I2099" s="2" t="str">
        <f>CLEAN("206")</f>
        <v>206</v>
      </c>
    </row>
    <row r="2100" spans="1:9" x14ac:dyDescent="0.35">
      <c r="A2100" s="2" t="str">
        <f t="shared" si="330"/>
        <v>MILWAUKEE</v>
      </c>
      <c r="B2100" s="2" t="str">
        <f t="shared" si="331"/>
        <v>MILWAUKEE COUNTY</v>
      </c>
      <c r="C2100" s="2" t="s">
        <v>796</v>
      </c>
      <c r="D2100" s="2" t="str">
        <f>CLEAN("2505-03-81")</f>
        <v>2505-03-81</v>
      </c>
      <c r="E2100" s="3" t="str">
        <f>CLEAN("C OAK CREEK S 13TH STREET")</f>
        <v>C OAK CREEK S 13TH STREET</v>
      </c>
      <c r="F2100" s="3" t="str">
        <f>CLEAN("W PUETZ ROAD TO W DREXEL AVENUE")</f>
        <v>W PUETZ ROAD TO W DREXEL AVENUE</v>
      </c>
      <c r="G2100" s="3" t="str">
        <f>CLEAN("CONST/RECONSTRUCT NO ADDL LANES")</f>
        <v>CONST/RECONSTRUCT NO ADDL LANES</v>
      </c>
      <c r="H2100" s="2" t="str">
        <f>CLEAN("CTH V")</f>
        <v>CTH V</v>
      </c>
      <c r="I2100" s="2" t="str">
        <f>CLEAN("206")</f>
        <v>206</v>
      </c>
    </row>
    <row r="2101" spans="1:9" x14ac:dyDescent="0.35">
      <c r="A2101" s="2" t="str">
        <f t="shared" si="330"/>
        <v>MILWAUKEE</v>
      </c>
      <c r="B2101" s="2" t="str">
        <f t="shared" si="331"/>
        <v>MILWAUKEE COUNTY</v>
      </c>
      <c r="C2101" s="2" t="s">
        <v>2631</v>
      </c>
      <c r="D2101" s="2" t="str">
        <f>CLEAN("2545-13-00")</f>
        <v>2545-13-00</v>
      </c>
      <c r="E2101" s="3" t="str">
        <f>CLEAN("W HAMPTON AVENUE")</f>
        <v>W HAMPTON AVENUE</v>
      </c>
      <c r="F2101" s="3" t="str">
        <f>CLEAN("BRIDGE OVER MILWAUKEE RIVER")</f>
        <v>BRIDGE OVER MILWAUKEE RIVER</v>
      </c>
      <c r="G2101" s="3" t="str">
        <f>CLEAN("PE/BRIDGE DECK REPLACEMENT P400750")</f>
        <v>PE/BRIDGE DECK REPLACEMENT P400750</v>
      </c>
      <c r="H2101" s="2" t="str">
        <f>CLEAN("CTH E")</f>
        <v>CTH E</v>
      </c>
      <c r="I2101" s="2" t="str">
        <f>CLEAN("205")</f>
        <v>205</v>
      </c>
    </row>
    <row r="2102" spans="1:9" x14ac:dyDescent="0.35">
      <c r="A2102" s="2" t="str">
        <f t="shared" si="330"/>
        <v>MILWAUKEE</v>
      </c>
      <c r="B2102" s="2" t="str">
        <f t="shared" si="331"/>
        <v>MILWAUKEE COUNTY</v>
      </c>
      <c r="C2102" s="2" t="s">
        <v>378</v>
      </c>
      <c r="D2102" s="2" t="str">
        <f>CLEAN("2545-13-70")</f>
        <v>2545-13-70</v>
      </c>
      <c r="E2102" s="3" t="str">
        <f>CLEAN("C GLENDALE W HAMPTON AVENUE")</f>
        <v>C GLENDALE W HAMPTON AVENUE</v>
      </c>
      <c r="F2102" s="3" t="str">
        <f>CLEAN("BRIDGE OVER MILWAUKEE RIVER")</f>
        <v>BRIDGE OVER MILWAUKEE RIVER</v>
      </c>
      <c r="G2102" s="3" t="str">
        <f>CLEAN("CONST/BRIDGE DECK OVERLAY P-40-0750")</f>
        <v>CONST/BRIDGE DECK OVERLAY P-40-0750</v>
      </c>
      <c r="H2102" s="2" t="str">
        <f>CLEAN("LOC STR")</f>
        <v>LOC STR</v>
      </c>
      <c r="I2102" s="2" t="str">
        <f>CLEAN("205")</f>
        <v>205</v>
      </c>
    </row>
    <row r="2103" spans="1:9" x14ac:dyDescent="0.35">
      <c r="A2103" s="2" t="str">
        <f t="shared" si="330"/>
        <v>MILWAUKEE</v>
      </c>
      <c r="B2103" s="2" t="str">
        <f t="shared" si="331"/>
        <v>MILWAUKEE COUNTY</v>
      </c>
      <c r="C2103" s="2" t="s">
        <v>2662</v>
      </c>
      <c r="D2103" s="2" t="str">
        <f>CLEAN("2575-03-00")</f>
        <v>2575-03-00</v>
      </c>
      <c r="E2103" s="3" t="str">
        <f>CLEAN("MILL ROAD")</f>
        <v>MILL ROAD</v>
      </c>
      <c r="F2103" s="3" t="str">
        <f>CLEAN("BRIDGE OVER OAK CREEK B-40-0936")</f>
        <v>BRIDGE OVER OAK CREEK B-40-0936</v>
      </c>
      <c r="G2103" s="3" t="str">
        <f>CLEAN("PE/DECK REPLACEMENT")</f>
        <v>PE/DECK REPLACEMENT</v>
      </c>
      <c r="H2103" s="2" t="str">
        <f>CLEAN("LOC STR")</f>
        <v>LOC STR</v>
      </c>
      <c r="I2103" s="2" t="str">
        <f>CLEAN("205")</f>
        <v>205</v>
      </c>
    </row>
    <row r="2104" spans="1:9" x14ac:dyDescent="0.35">
      <c r="A2104" s="2" t="str">
        <f t="shared" si="330"/>
        <v>MILWAUKEE</v>
      </c>
      <c r="B2104" s="2" t="str">
        <f t="shared" si="331"/>
        <v>MILWAUKEE COUNTY</v>
      </c>
      <c r="C2104" s="2" t="s">
        <v>547</v>
      </c>
      <c r="D2104" s="2" t="str">
        <f>CLEAN("2575-03-70")</f>
        <v>2575-03-70</v>
      </c>
      <c r="E2104" s="3" t="str">
        <f>CLEAN("MILL ROAD")</f>
        <v>MILL ROAD</v>
      </c>
      <c r="F2104" s="3" t="str">
        <f>CLEAN("BRIDGE OVER OAK CREEK B-40-0936")</f>
        <v>BRIDGE OVER OAK CREEK B-40-0936</v>
      </c>
      <c r="G2104" s="3" t="str">
        <f>CLEAN("CONST/DECK REPLACEMENT")</f>
        <v>CONST/DECK REPLACEMENT</v>
      </c>
      <c r="H2104" s="2" t="str">
        <f>CLEAN("LOC STR")</f>
        <v>LOC STR</v>
      </c>
      <c r="I2104" s="2" t="str">
        <f>CLEAN("205")</f>
        <v>205</v>
      </c>
    </row>
    <row r="2105" spans="1:9" x14ac:dyDescent="0.35">
      <c r="A2105" s="2" t="str">
        <f t="shared" si="330"/>
        <v>MILWAUKEE</v>
      </c>
      <c r="B2105" s="2" t="str">
        <f t="shared" si="331"/>
        <v>MILWAUKEE COUNTY</v>
      </c>
      <c r="C2105" s="2" t="s">
        <v>2895</v>
      </c>
      <c r="D2105" s="2" t="str">
        <f>CLEAN("2967-00-07")</f>
        <v>2967-00-07</v>
      </c>
      <c r="E2105" s="3" t="str">
        <f>CLEAN("6 LOCAL INTERSECTIONS")</f>
        <v>6 LOCAL INTERSECTIONS</v>
      </c>
      <c r="F2105" s="3" t="str">
        <f>CLEAN("GOOD HOPE  PORT WASH &amp; SHERMAN")</f>
        <v>GOOD HOPE  PORT WASH &amp; SHERMAN</v>
      </c>
      <c r="G2105" s="3" t="str">
        <f>CLEAN("PE/HSIP/INTERSECTION IMPROVEMENTS")</f>
        <v>PE/HSIP/INTERSECTION IMPROVEMENTS</v>
      </c>
      <c r="H2105" s="2" t="str">
        <f>CLEAN("VAR HWY")</f>
        <v>VAR HWY</v>
      </c>
      <c r="I2105" s="2" t="str">
        <f t="shared" ref="I2105:I2112" si="333">CLEAN("206")</f>
        <v>206</v>
      </c>
    </row>
    <row r="2106" spans="1:9" x14ac:dyDescent="0.35">
      <c r="A2106" s="2" t="str">
        <f t="shared" si="330"/>
        <v>MILWAUKEE</v>
      </c>
      <c r="B2106" s="2" t="str">
        <f t="shared" si="331"/>
        <v>MILWAUKEE COUNTY</v>
      </c>
      <c r="C2106" s="2" t="s">
        <v>572</v>
      </c>
      <c r="D2106" s="2" t="str">
        <f>CLEAN("2967-00-77")</f>
        <v>2967-00-77</v>
      </c>
      <c r="E2106" s="3" t="str">
        <f>CLEAN("6 LOCAL INTERSECTIONS")</f>
        <v>6 LOCAL INTERSECTIONS</v>
      </c>
      <c r="F2106" s="3" t="str">
        <f>CLEAN("GOOD HOPE  PORT WASH &amp; SHERMAN")</f>
        <v>GOOD HOPE  PORT WASH &amp; SHERMAN</v>
      </c>
      <c r="G2106" s="3" t="str">
        <f>CLEAN("CONST/HSIP/INTERSECT IMPROVEMENTS")</f>
        <v>CONST/HSIP/INTERSECT IMPROVEMENTS</v>
      </c>
      <c r="H2106" s="2" t="str">
        <f>CLEAN("VAR HWY")</f>
        <v>VAR HWY</v>
      </c>
      <c r="I2106" s="2" t="str">
        <f t="shared" si="333"/>
        <v>206</v>
      </c>
    </row>
    <row r="2107" spans="1:9" x14ac:dyDescent="0.35">
      <c r="A2107" s="2" t="str">
        <f t="shared" si="330"/>
        <v>MILWAUKEE</v>
      </c>
      <c r="B2107" s="2" t="str">
        <f t="shared" si="331"/>
        <v>MILWAUKEE COUNTY</v>
      </c>
      <c r="C2107" s="2" t="s">
        <v>2981</v>
      </c>
      <c r="D2107" s="2" t="str">
        <f>CLEAN("2967-18-01")</f>
        <v>2967-18-01</v>
      </c>
      <c r="E2107" s="3" t="str">
        <f>CLEAN("SIGNAL MONITORING IMPROVEMENTS")</f>
        <v>SIGNAL MONITORING IMPROVEMENTS</v>
      </c>
      <c r="F2107" s="3" t="str">
        <f>CLEAN("COUNTYWIDE PER PROJECT APPLICATION")</f>
        <v>COUNTYWIDE PER PROJECT APPLICATION</v>
      </c>
      <c r="G2107" s="3" t="str">
        <f>CLEAN("PE/STATE REVIEW ONLY")</f>
        <v>PE/STATE REVIEW ONLY</v>
      </c>
      <c r="H2107" s="2" t="str">
        <f>CLEAN("VAR HWY")</f>
        <v>VAR HWY</v>
      </c>
      <c r="I2107" s="2" t="str">
        <f t="shared" si="333"/>
        <v>206</v>
      </c>
    </row>
    <row r="2108" spans="1:9" x14ac:dyDescent="0.35">
      <c r="A2108" s="2" t="str">
        <f t="shared" si="330"/>
        <v>MILWAUKEE</v>
      </c>
      <c r="B2108" s="2" t="str">
        <f t="shared" si="331"/>
        <v>MILWAUKEE COUNTY</v>
      </c>
      <c r="C2108" s="2" t="s">
        <v>2990</v>
      </c>
      <c r="D2108" s="2" t="str">
        <f>CLEAN("2967-18-02")</f>
        <v>2967-18-02</v>
      </c>
      <c r="E2108" s="3" t="str">
        <f>CLEAN("C WEST ALLIS  W OKLAHOMA AVE")</f>
        <v>C WEST ALLIS  W OKLAHOMA AVE</v>
      </c>
      <c r="F2108" s="3" t="str">
        <f>CLEAN("INTERSECTION WITH S WOLLMER RD")</f>
        <v>INTERSECTION WITH S WOLLMER RD</v>
      </c>
      <c r="G2108" s="3" t="str">
        <f>CLEAN("PE/STATE REVIEW ONLY")</f>
        <v>PE/STATE REVIEW ONLY</v>
      </c>
      <c r="H2108" s="2" t="str">
        <f>CLEAN("CTH NN")</f>
        <v>CTH NN</v>
      </c>
      <c r="I2108" s="2" t="str">
        <f t="shared" si="333"/>
        <v>206</v>
      </c>
    </row>
    <row r="2109" spans="1:9" x14ac:dyDescent="0.35">
      <c r="A2109" s="2" t="str">
        <f t="shared" si="330"/>
        <v>MILWAUKEE</v>
      </c>
      <c r="B2109" s="2" t="str">
        <f t="shared" si="331"/>
        <v>MILWAUKEE COUNTY</v>
      </c>
      <c r="C2109" s="2" t="s">
        <v>1042</v>
      </c>
      <c r="D2109" s="2" t="str">
        <f>CLEAN("2967-18-71")</f>
        <v>2967-18-71</v>
      </c>
      <c r="E2109" s="3" t="str">
        <f>CLEAN("SIGNAL MONITORING IMPROVEMENTS")</f>
        <v>SIGNAL MONITORING IMPROVEMENTS</v>
      </c>
      <c r="F2109" s="3" t="str">
        <f>CLEAN("COUNTYWIDE PER PROJECT APPLICATION")</f>
        <v>COUNTYWIDE PER PROJECT APPLICATION</v>
      </c>
      <c r="G2109" s="3" t="str">
        <f>CLEAN("CONST/SIGNAL IMPROVEMENTS")</f>
        <v>CONST/SIGNAL IMPROVEMENTS</v>
      </c>
      <c r="H2109" s="2" t="str">
        <f>CLEAN("VAR HWY")</f>
        <v>VAR HWY</v>
      </c>
      <c r="I2109" s="2" t="str">
        <f t="shared" si="333"/>
        <v>206</v>
      </c>
    </row>
    <row r="2110" spans="1:9" x14ac:dyDescent="0.35">
      <c r="A2110" s="2" t="str">
        <f t="shared" si="330"/>
        <v>MILWAUKEE</v>
      </c>
      <c r="B2110" s="2" t="str">
        <f t="shared" si="331"/>
        <v>MILWAUKEE COUNTY</v>
      </c>
      <c r="C2110" s="2" t="s">
        <v>1041</v>
      </c>
      <c r="D2110" s="2" t="str">
        <f>CLEAN("2967-18-72")</f>
        <v>2967-18-72</v>
      </c>
      <c r="E2110" s="3" t="str">
        <f>CLEAN("C WEST ALLIS  W OKLAHOMA AVE")</f>
        <v>C WEST ALLIS  W OKLAHOMA AVE</v>
      </c>
      <c r="F2110" s="3" t="str">
        <f>CLEAN("INTERSECTION WITH S WOLLMER RD")</f>
        <v>INTERSECTION WITH S WOLLMER RD</v>
      </c>
      <c r="G2110" s="3" t="str">
        <f>CLEAN("CONST/SIGNAL IMPROVEMENT")</f>
        <v>CONST/SIGNAL IMPROVEMENT</v>
      </c>
      <c r="H2110" s="2" t="str">
        <f>CLEAN("CTH NN")</f>
        <v>CTH NN</v>
      </c>
      <c r="I2110" s="2" t="str">
        <f t="shared" si="333"/>
        <v>206</v>
      </c>
    </row>
    <row r="2111" spans="1:9" x14ac:dyDescent="0.35">
      <c r="A2111" s="2" t="str">
        <f t="shared" si="330"/>
        <v>MILWAUKEE</v>
      </c>
      <c r="B2111" s="2" t="str">
        <f t="shared" si="331"/>
        <v>MILWAUKEE COUNTY</v>
      </c>
      <c r="C2111" s="2" t="s">
        <v>697</v>
      </c>
      <c r="D2111" s="2" t="str">
        <f>CLEAN("2967-18-81")</f>
        <v>2967-18-81</v>
      </c>
      <c r="E2111" s="3" t="str">
        <f>CLEAN("SIGNAL MONITORING IMPROVEMENTS")</f>
        <v>SIGNAL MONITORING IMPROVEMENTS</v>
      </c>
      <c r="F2111" s="3" t="str">
        <f>CLEAN("COUNTYWIDE PER PROJECT APPLICATION")</f>
        <v>COUNTYWIDE PER PROJECT APPLICATION</v>
      </c>
      <c r="G2111" s="3" t="str">
        <f>CLEAN("CONST/PROCUREMENT")</f>
        <v>CONST/PROCUREMENT</v>
      </c>
      <c r="H2111" s="2" t="str">
        <f>CLEAN("NON HWY")</f>
        <v>NON HWY</v>
      </c>
      <c r="I2111" s="2" t="str">
        <f t="shared" si="333"/>
        <v>206</v>
      </c>
    </row>
    <row r="2112" spans="1:9" x14ac:dyDescent="0.35">
      <c r="A2112" s="2" t="str">
        <f t="shared" si="330"/>
        <v>MILWAUKEE</v>
      </c>
      <c r="B2112" s="2" t="str">
        <f t="shared" si="331"/>
        <v>MILWAUKEE COUNTY</v>
      </c>
      <c r="C2112" s="2" t="s">
        <v>698</v>
      </c>
      <c r="D2112" s="2" t="str">
        <f>CLEAN("2967-18-82")</f>
        <v>2967-18-82</v>
      </c>
      <c r="E2112" s="3" t="str">
        <f>CLEAN("C WEST ALLIS  W OKLAHOMA AVE")</f>
        <v>C WEST ALLIS  W OKLAHOMA AVE</v>
      </c>
      <c r="F2112" s="3" t="str">
        <f>CLEAN("INTERSECTION WITH S WOLLMER RD")</f>
        <v>INTERSECTION WITH S WOLLMER RD</v>
      </c>
      <c r="G2112" s="3" t="str">
        <f>CLEAN("CONST/PROCUREMENT")</f>
        <v>CONST/PROCUREMENT</v>
      </c>
      <c r="H2112" s="2" t="str">
        <f>CLEAN("CTH NN")</f>
        <v>CTH NN</v>
      </c>
      <c r="I2112" s="2" t="str">
        <f t="shared" si="333"/>
        <v>206</v>
      </c>
    </row>
    <row r="2113" spans="1:9" x14ac:dyDescent="0.35">
      <c r="A2113" s="2" t="str">
        <f t="shared" si="330"/>
        <v>MILWAUKEE</v>
      </c>
      <c r="B2113" s="2" t="str">
        <f t="shared" si="331"/>
        <v>MILWAUKEE COUNTY</v>
      </c>
      <c r="C2113" s="2" t="s">
        <v>3013</v>
      </c>
      <c r="D2113" s="2" t="str">
        <f>CLEAN("2967-20-01")</f>
        <v>2967-20-01</v>
      </c>
      <c r="E2113" s="3" t="str">
        <f>CLEAN("PED &amp; BIKE CROSSING ASSESSMENT")</f>
        <v>PED &amp; BIKE CROSSING ASSESSMENT</v>
      </c>
      <c r="F2113" s="3" t="str">
        <f>CLEAN("COUNTY WIDE - MILWAUKE CO")</f>
        <v>COUNTY WIDE - MILWAUKE CO</v>
      </c>
      <c r="G2113" s="3" t="str">
        <f>CLEAN("PE/STUDY")</f>
        <v>PE/STUDY</v>
      </c>
      <c r="H2113" s="2" t="str">
        <f>CLEAN("NON HWY")</f>
        <v>NON HWY</v>
      </c>
      <c r="I2113" s="2" t="str">
        <f>CLEAN("290")</f>
        <v>290</v>
      </c>
    </row>
    <row r="2114" spans="1:9" x14ac:dyDescent="0.35">
      <c r="A2114" s="2" t="str">
        <f t="shared" ref="A2114:A2147" si="334">CLEAN("MILWAUKEE")</f>
        <v>MILWAUKEE</v>
      </c>
      <c r="B2114" s="2" t="str">
        <f t="shared" si="331"/>
        <v>MILWAUKEE COUNTY</v>
      </c>
      <c r="C2114" s="2" t="s">
        <v>3070</v>
      </c>
      <c r="D2114" s="2" t="str">
        <f>CLEAN("2967-23-00")</f>
        <v>2967-23-00</v>
      </c>
      <c r="E2114" s="3" t="str">
        <f>CLEAN("Comprehensive Trail Network Plan")</f>
        <v>Comprehensive Trail Network Plan</v>
      </c>
      <c r="F2114" s="3" t="str">
        <f>CLEAN("MILWAUKEE COUNTY")</f>
        <v>MILWAUKEE COUNTY</v>
      </c>
      <c r="G2114" s="3" t="str">
        <f>CLEAN("PLAN UPDATE AND EXPANSION")</f>
        <v>PLAN UPDATE AND EXPANSION</v>
      </c>
      <c r="H2114" s="2" t="str">
        <f>CLEAN("NON HWY")</f>
        <v>NON HWY</v>
      </c>
      <c r="I2114" s="2" t="str">
        <f>CLEAN("290")</f>
        <v>290</v>
      </c>
    </row>
    <row r="2115" spans="1:9" x14ac:dyDescent="0.35">
      <c r="A2115" s="2" t="str">
        <f t="shared" si="334"/>
        <v>MILWAUKEE</v>
      </c>
      <c r="B2115" s="2" t="str">
        <f t="shared" si="331"/>
        <v>MILWAUKEE COUNTY</v>
      </c>
      <c r="C2115" s="2" t="s">
        <v>2789</v>
      </c>
      <c r="D2115" s="2" t="str">
        <f>CLEAN("2984-15-08")</f>
        <v>2984-15-08</v>
      </c>
      <c r="E2115" s="3" t="str">
        <f>CLEAN("C MILWAUKEE - E MASON STREET")</f>
        <v>C MILWAUKEE - E MASON STREET</v>
      </c>
      <c r="F2115" s="3" t="str">
        <f>CLEAN("OVER LINCOLN MEMORIAL DR B40-524")</f>
        <v>OVER LINCOLN MEMORIAL DR B40-524</v>
      </c>
      <c r="G2115" s="3" t="str">
        <f>CLEAN("PE/FULL PS/BRRHB")</f>
        <v>PE/FULL PS/BRRHB</v>
      </c>
      <c r="H2115" s="2" t="str">
        <f>CLEAN("LOC STR")</f>
        <v>LOC STR</v>
      </c>
      <c r="I2115" s="2" t="str">
        <f>CLEAN("205")</f>
        <v>205</v>
      </c>
    </row>
    <row r="2116" spans="1:9" x14ac:dyDescent="0.35">
      <c r="A2116" s="2" t="str">
        <f t="shared" si="334"/>
        <v>MILWAUKEE</v>
      </c>
      <c r="B2116" s="2" t="str">
        <f t="shared" si="331"/>
        <v>MILWAUKEE COUNTY</v>
      </c>
      <c r="C2116" s="2" t="s">
        <v>490</v>
      </c>
      <c r="D2116" s="2" t="str">
        <f>CLEAN("2984-15-78")</f>
        <v>2984-15-78</v>
      </c>
      <c r="E2116" s="3" t="str">
        <f>CLEAN("C MILWAUKEE - E MASON STREET")</f>
        <v>C MILWAUKEE - E MASON STREET</v>
      </c>
      <c r="F2116" s="3" t="str">
        <f>CLEAN("OVER LINCOLN MEMORIAL DR B-40-0524")</f>
        <v>OVER LINCOLN MEMORIAL DR B-40-0524</v>
      </c>
      <c r="G2116" s="3" t="str">
        <f>CLEAN("CONST/BRRHB")</f>
        <v>CONST/BRRHB</v>
      </c>
      <c r="H2116" s="2" t="str">
        <f>CLEAN("LOC STR")</f>
        <v>LOC STR</v>
      </c>
      <c r="I2116" s="2" t="str">
        <f>CLEAN("205")</f>
        <v>205</v>
      </c>
    </row>
    <row r="2117" spans="1:9" x14ac:dyDescent="0.35">
      <c r="A2117" s="2" t="str">
        <f t="shared" si="334"/>
        <v>MILWAUKEE</v>
      </c>
      <c r="B2117" s="2" t="str">
        <f t="shared" si="331"/>
        <v>MILWAUKEE COUNTY</v>
      </c>
      <c r="C2117" s="2" t="s">
        <v>2619</v>
      </c>
      <c r="D2117" s="2" t="str">
        <f>CLEAN("2984-25-05")</f>
        <v>2984-25-05</v>
      </c>
      <c r="E2117" s="3" t="str">
        <f>CLEAN("C MILWAUKEE  LINCOLN MEMORIAL DR")</f>
        <v>C MILWAUKEE  LINCOLN MEMORIAL DR</v>
      </c>
      <c r="F2117" s="3" t="str">
        <f>CLEAN("JUNEAU PARK RD TO E WATER TOWER RD")</f>
        <v>JUNEAU PARK RD TO E WATER TOWER RD</v>
      </c>
      <c r="G2117" s="3" t="str">
        <f>CLEAN("PE/ADAPTIVE TRAFFIC SIGNAL")</f>
        <v>PE/ADAPTIVE TRAFFIC SIGNAL</v>
      </c>
      <c r="H2117" s="2" t="str">
        <f>CLEAN("LOC STR")</f>
        <v>LOC STR</v>
      </c>
      <c r="I2117" s="2" t="str">
        <f>CLEAN("211")</f>
        <v>211</v>
      </c>
    </row>
    <row r="2118" spans="1:9" x14ac:dyDescent="0.35">
      <c r="A2118" s="2" t="str">
        <f t="shared" si="334"/>
        <v>MILWAUKEE</v>
      </c>
      <c r="B2118" s="2" t="str">
        <f t="shared" si="331"/>
        <v>MILWAUKEE COUNTY</v>
      </c>
      <c r="C2118" s="2" t="s">
        <v>2585</v>
      </c>
      <c r="D2118" s="2" t="str">
        <f>CLEAN("2984-25-75")</f>
        <v>2984-25-75</v>
      </c>
      <c r="E2118" s="3" t="str">
        <f>CLEAN("C MILWAUKEE  LINCOLN MEMORIAL DR")</f>
        <v>C MILWAUKEE  LINCOLN MEMORIAL DR</v>
      </c>
      <c r="F2118" s="3" t="str">
        <f>CLEAN("JUNEAU PARK RD TO E WATER TOWER RD")</f>
        <v>JUNEAU PARK RD TO E WATER TOWER RD</v>
      </c>
      <c r="G2118" s="3" t="str">
        <f>CLEAN("MISC/ADAPTIVE TRAFFIC SIGNAL SYS")</f>
        <v>MISC/ADAPTIVE TRAFFIC SIGNAL SYS</v>
      </c>
      <c r="H2118" s="2" t="str">
        <f>CLEAN("LOC STR")</f>
        <v>LOC STR</v>
      </c>
      <c r="I2118" s="2" t="str">
        <f>CLEAN("211")</f>
        <v>211</v>
      </c>
    </row>
    <row r="2119" spans="1:9" x14ac:dyDescent="0.35">
      <c r="A2119" s="2" t="str">
        <f t="shared" si="334"/>
        <v>MILWAUKEE</v>
      </c>
      <c r="B2119" s="2" t="str">
        <f t="shared" si="331"/>
        <v>MILWAUKEE COUNTY</v>
      </c>
      <c r="C2119" s="2" t="s">
        <v>2579</v>
      </c>
      <c r="D2119" s="2" t="str">
        <f>CLEAN("2984-25-85")</f>
        <v>2984-25-85</v>
      </c>
      <c r="E2119" s="3" t="str">
        <f>CLEAN("C MILWAUKEE  LINCOLN MEMORIAL DR")</f>
        <v>C MILWAUKEE  LINCOLN MEMORIAL DR</v>
      </c>
      <c r="F2119" s="3" t="str">
        <f>CLEAN("JUNEAU PARK RD TO E WATER TOWER RD")</f>
        <v>JUNEAU PARK RD TO E WATER TOWER RD</v>
      </c>
      <c r="G2119" s="3" t="str">
        <f>CLEAN("MIS/PROCUREMENT")</f>
        <v>MIS/PROCUREMENT</v>
      </c>
      <c r="H2119" s="2" t="str">
        <f>CLEAN("LOC STR")</f>
        <v>LOC STR</v>
      </c>
      <c r="I2119" s="2" t="str">
        <f>CLEAN("211")</f>
        <v>211</v>
      </c>
    </row>
    <row r="2120" spans="1:9" x14ac:dyDescent="0.35">
      <c r="A2120" s="2" t="str">
        <f t="shared" si="334"/>
        <v>MILWAUKEE</v>
      </c>
      <c r="B2120" s="2" t="str">
        <f t="shared" ref="B2120:B2137" si="335">CLEAN("MILWAUKEE COUNTY PARKS")</f>
        <v>MILWAUKEE COUNTY PARKS</v>
      </c>
      <c r="C2120" s="2" t="s">
        <v>2635</v>
      </c>
      <c r="D2120" s="2" t="str">
        <f>CLEAN("2967-01-03")</f>
        <v>2967-01-03</v>
      </c>
      <c r="E2120" s="3" t="str">
        <f>CLEAN("HISTORIC LAKE PARK RAVINE BRIDGE")</f>
        <v>HISTORIC LAKE PARK RAVINE BRIDGE</v>
      </c>
      <c r="F2120" s="3" t="str">
        <f>CLEAN("OVER RAVINE ROAD")</f>
        <v>OVER RAVINE ROAD</v>
      </c>
      <c r="G2120" s="3" t="str">
        <f>CLEAN("PE/BRIDGE REHAB")</f>
        <v>PE/BRIDGE REHAB</v>
      </c>
      <c r="H2120" s="2" t="str">
        <f t="shared" ref="H2120:H2137" si="336">CLEAN("NON HWY")</f>
        <v>NON HWY</v>
      </c>
      <c r="I2120" s="2" t="str">
        <f>CLEAN("290")</f>
        <v>290</v>
      </c>
    </row>
    <row r="2121" spans="1:9" x14ac:dyDescent="0.35">
      <c r="A2121" s="2" t="str">
        <f t="shared" si="334"/>
        <v>MILWAUKEE</v>
      </c>
      <c r="B2121" s="2" t="str">
        <f t="shared" si="335"/>
        <v>MILWAUKEE COUNTY PARKS</v>
      </c>
      <c r="C2121" s="2" t="s">
        <v>2954</v>
      </c>
      <c r="D2121" s="2" t="str">
        <f>CLEAN("2967-01-04")</f>
        <v>2967-01-04</v>
      </c>
      <c r="E2121" s="3" t="str">
        <f>CLEAN("GREENFIELD PARK OAK LEAF TRAIL")</f>
        <v>GREENFIELD PARK OAK LEAF TRAIL</v>
      </c>
      <c r="F2121" s="3" t="str">
        <f>CLEAN("124TH ST TO WEST ALLIS TRAIL CON")</f>
        <v>124TH ST TO WEST ALLIS TRAIL CON</v>
      </c>
      <c r="G2121" s="3" t="str">
        <f>CLEAN("PE/RECONSTRUCTION")</f>
        <v>PE/RECONSTRUCTION</v>
      </c>
      <c r="H2121" s="2" t="str">
        <f t="shared" si="336"/>
        <v>NON HWY</v>
      </c>
      <c r="I2121" s="2" t="str">
        <f>CLEAN("290")</f>
        <v>290</v>
      </c>
    </row>
    <row r="2122" spans="1:9" x14ac:dyDescent="0.35">
      <c r="A2122" s="2" t="str">
        <f t="shared" si="334"/>
        <v>MILWAUKEE</v>
      </c>
      <c r="B2122" s="2" t="str">
        <f t="shared" si="335"/>
        <v>MILWAUKEE COUNTY PARKS</v>
      </c>
      <c r="C2122" s="2" t="s">
        <v>3023</v>
      </c>
      <c r="D2122" s="2" t="str">
        <f>CLEAN("2967-01-05")</f>
        <v>2967-01-05</v>
      </c>
      <c r="E2122" s="3" t="str">
        <f>CLEAN("LITTLE MENOMONEE RIVER PARKWAY")</f>
        <v>LITTLE MENOMONEE RIVER PARKWAY</v>
      </c>
      <c r="F2122" s="3" t="str">
        <f>CLEAN("OAK LEAF TRAIL RELOCATION")</f>
        <v>OAK LEAF TRAIL RELOCATION</v>
      </c>
      <c r="G2122" s="3" t="str">
        <f>CLEAN("PE/TRAIL RELOCATION")</f>
        <v>PE/TRAIL RELOCATION</v>
      </c>
      <c r="H2122" s="2" t="str">
        <f t="shared" si="336"/>
        <v>NON HWY</v>
      </c>
      <c r="I2122" s="2" t="str">
        <f>CLEAN("290")</f>
        <v>290</v>
      </c>
    </row>
    <row r="2123" spans="1:9" x14ac:dyDescent="0.35">
      <c r="A2123" s="2" t="str">
        <f t="shared" si="334"/>
        <v>MILWAUKEE</v>
      </c>
      <c r="B2123" s="2" t="str">
        <f t="shared" si="335"/>
        <v>MILWAUKEE COUNTY PARKS</v>
      </c>
      <c r="C2123" s="2" t="s">
        <v>3060</v>
      </c>
      <c r="D2123" s="2" t="str">
        <f>CLEAN("2967-09-02")</f>
        <v>2967-09-02</v>
      </c>
      <c r="E2123" s="3" t="str">
        <f>CLEAN("OLT UNION PACIFIC SEGMENT")</f>
        <v>OLT UNION PACIFIC SEGMENT</v>
      </c>
      <c r="F2123" s="3" t="str">
        <f>CLEAN("CRESTWOOD STREAM CULVERT")</f>
        <v>CRESTWOOD STREAM CULVERT</v>
      </c>
      <c r="G2123" s="3" t="str">
        <f>CLEAN("PE-LOCAL LET/CULVERT REPLACEMENT")</f>
        <v>PE-LOCAL LET/CULVERT REPLACEMENT</v>
      </c>
      <c r="H2123" s="2" t="str">
        <f t="shared" si="336"/>
        <v>NON HWY</v>
      </c>
      <c r="I2123" s="2" t="str">
        <f>CLEAN("290")</f>
        <v>290</v>
      </c>
    </row>
    <row r="2124" spans="1:9" x14ac:dyDescent="0.35">
      <c r="A2124" s="2" t="str">
        <f t="shared" si="334"/>
        <v>MILWAUKEE</v>
      </c>
      <c r="B2124" s="2" t="str">
        <f t="shared" si="335"/>
        <v>MILWAUKEE COUNTY PARKS</v>
      </c>
      <c r="C2124" s="2" t="s">
        <v>2624</v>
      </c>
      <c r="D2124" s="2" t="str">
        <f>CLEAN("2967-10-01")</f>
        <v>2967-10-01</v>
      </c>
      <c r="E2124" s="3" t="str">
        <f>CLEAN("LINCOLN/NW SIDE TRAIL CONN PLAN")</f>
        <v>LINCOLN/NW SIDE TRAIL CONN PLAN</v>
      </c>
      <c r="F2124" s="3" t="str">
        <f>CLEAN("I94 EW-N CO LINE &amp; I43 NS-W CO LINE")</f>
        <v>I94 EW-N CO LINE &amp; I43 NS-W CO LINE</v>
      </c>
      <c r="G2124" s="3" t="str">
        <f>CLEAN("PE/BIKE &amp; PED PLAN")</f>
        <v>PE/BIKE &amp; PED PLAN</v>
      </c>
      <c r="H2124" s="2" t="str">
        <f t="shared" si="336"/>
        <v>NON HWY</v>
      </c>
      <c r="I2124" s="2" t="str">
        <f>CLEAN("290")</f>
        <v>290</v>
      </c>
    </row>
    <row r="2125" spans="1:9" x14ac:dyDescent="0.35">
      <c r="A2125" s="2" t="str">
        <f t="shared" si="334"/>
        <v>MILWAUKEE</v>
      </c>
      <c r="B2125" s="2" t="str">
        <f t="shared" si="335"/>
        <v>MILWAUKEE COUNTY PARKS</v>
      </c>
      <c r="C2125" s="2" t="s">
        <v>3047</v>
      </c>
      <c r="D2125" s="2" t="str">
        <f>CLEAN("2967-11-01")</f>
        <v>2967-11-01</v>
      </c>
      <c r="E2125" s="3" t="str">
        <f>CLEAN("OAK LEAF TR CONNECTIVITY-BENDER PRK")</f>
        <v>OAK LEAF TR CONNECTIVITY-BENDER PRK</v>
      </c>
      <c r="F2125" s="3" t="str">
        <f>CLEAN("BENDER PARK")</f>
        <v>BENDER PARK</v>
      </c>
      <c r="G2125" s="3" t="str">
        <f>CLEAN("PE-FULL PS&amp;E-BIKE/PED TRAIL")</f>
        <v>PE-FULL PS&amp;E-BIKE/PED TRAIL</v>
      </c>
      <c r="H2125" s="2" t="str">
        <f t="shared" si="336"/>
        <v>NON HWY</v>
      </c>
      <c r="I2125" s="2" t="str">
        <f>CLEAN("211")</f>
        <v>211</v>
      </c>
    </row>
    <row r="2126" spans="1:9" x14ac:dyDescent="0.35">
      <c r="A2126" s="2" t="str">
        <f t="shared" si="334"/>
        <v>MILWAUKEE</v>
      </c>
      <c r="B2126" s="2" t="str">
        <f t="shared" si="335"/>
        <v>MILWAUKEE COUNTY PARKS</v>
      </c>
      <c r="C2126" s="2" t="s">
        <v>2913</v>
      </c>
      <c r="D2126" s="2" t="str">
        <f>CLEAN("2967-11-02")</f>
        <v>2967-11-02</v>
      </c>
      <c r="E2126" s="3" t="str">
        <f>CLEAN("OAK LEAF TRAIL EXTENSION")</f>
        <v>OAK LEAF TRAIL EXTENSION</v>
      </c>
      <c r="F2126" s="3" t="str">
        <f>CLEAN("KOHL PARK CONNECTION")</f>
        <v>KOHL PARK CONNECTION</v>
      </c>
      <c r="G2126" s="3" t="str">
        <f>CLEAN("PE/PED BIKE FACILITIES")</f>
        <v>PE/PED BIKE FACILITIES</v>
      </c>
      <c r="H2126" s="2" t="str">
        <f t="shared" si="336"/>
        <v>NON HWY</v>
      </c>
      <c r="I2126" s="2" t="str">
        <f>CLEAN("211")</f>
        <v>211</v>
      </c>
    </row>
    <row r="2127" spans="1:9" x14ac:dyDescent="0.35">
      <c r="A2127" s="2" t="str">
        <f t="shared" si="334"/>
        <v>MILWAUKEE</v>
      </c>
      <c r="B2127" s="2" t="str">
        <f t="shared" si="335"/>
        <v>MILWAUKEE COUNTY PARKS</v>
      </c>
      <c r="C2127" s="2" t="s">
        <v>389</v>
      </c>
      <c r="D2127" s="2" t="str">
        <f>CLEAN("2967-01-73")</f>
        <v>2967-01-73</v>
      </c>
      <c r="E2127" s="3" t="str">
        <f>CLEAN("HISTORIC LAKE PARK RAVINE BRIDGE")</f>
        <v>HISTORIC LAKE PARK RAVINE BRIDGE</v>
      </c>
      <c r="F2127" s="3" t="str">
        <f>CLEAN("OVER RAVINE ROAD")</f>
        <v>OVER RAVINE ROAD</v>
      </c>
      <c r="G2127" s="3" t="str">
        <f>CLEAN("CONST/BRIDGE REHAB")</f>
        <v>CONST/BRIDGE REHAB</v>
      </c>
      <c r="H2127" s="2" t="str">
        <f t="shared" si="336"/>
        <v>NON HWY</v>
      </c>
      <c r="I2127" s="2" t="str">
        <f>CLEAN("290")</f>
        <v>290</v>
      </c>
    </row>
    <row r="2128" spans="1:9" x14ac:dyDescent="0.35">
      <c r="A2128" s="2" t="str">
        <f t="shared" si="334"/>
        <v>MILWAUKEE</v>
      </c>
      <c r="B2128" s="2" t="str">
        <f t="shared" si="335"/>
        <v>MILWAUKEE COUNTY PARKS</v>
      </c>
      <c r="C2128" s="2" t="s">
        <v>814</v>
      </c>
      <c r="D2128" s="2" t="str">
        <f>CLEAN("2967-01-74")</f>
        <v>2967-01-74</v>
      </c>
      <c r="E2128" s="3" t="str">
        <f>CLEAN("GREENFIELD PARK OAK LEAF TRAIL")</f>
        <v>GREENFIELD PARK OAK LEAF TRAIL</v>
      </c>
      <c r="F2128" s="3" t="str">
        <f>CLEAN("124TH ST TO WEST ALLIS TRAIL CON")</f>
        <v>124TH ST TO WEST ALLIS TRAIL CON</v>
      </c>
      <c r="G2128" s="3" t="str">
        <f>CLEAN("CONST/RECONSTRUCTION")</f>
        <v>CONST/RECONSTRUCTION</v>
      </c>
      <c r="H2128" s="2" t="str">
        <f t="shared" si="336"/>
        <v>NON HWY</v>
      </c>
      <c r="I2128" s="2" t="str">
        <f>CLEAN("290")</f>
        <v>290</v>
      </c>
    </row>
    <row r="2129" spans="1:9" x14ac:dyDescent="0.35">
      <c r="A2129" s="2" t="str">
        <f t="shared" si="334"/>
        <v>MILWAUKEE</v>
      </c>
      <c r="B2129" s="2" t="str">
        <f t="shared" si="335"/>
        <v>MILWAUKEE COUNTY PARKS</v>
      </c>
      <c r="C2129" s="2" t="s">
        <v>1087</v>
      </c>
      <c r="D2129" s="2" t="str">
        <f>CLEAN("2967-01-75")</f>
        <v>2967-01-75</v>
      </c>
      <c r="E2129" s="3" t="str">
        <f>CLEAN("LITTLE MENOMONEE RIVER PARKWAY")</f>
        <v>LITTLE MENOMONEE RIVER PARKWAY</v>
      </c>
      <c r="F2129" s="3" t="str">
        <f>CLEAN("OAK LEAF TRAIL RELOCATION")</f>
        <v>OAK LEAF TRAIL RELOCATION</v>
      </c>
      <c r="G2129" s="3" t="str">
        <f>CLEAN("CONST/TRAIL RELOCATION")</f>
        <v>CONST/TRAIL RELOCATION</v>
      </c>
      <c r="H2129" s="2" t="str">
        <f t="shared" si="336"/>
        <v>NON HWY</v>
      </c>
      <c r="I2129" s="2" t="str">
        <f>CLEAN("290")</f>
        <v>290</v>
      </c>
    </row>
    <row r="2130" spans="1:9" x14ac:dyDescent="0.35">
      <c r="A2130" s="2" t="str">
        <f t="shared" si="334"/>
        <v>MILWAUKEE</v>
      </c>
      <c r="B2130" s="2" t="str">
        <f t="shared" si="335"/>
        <v>MILWAUKEE COUNTY PARKS</v>
      </c>
      <c r="C2130" s="2" t="s">
        <v>371</v>
      </c>
      <c r="D2130" s="2" t="str">
        <f>CLEAN("2967-09-72")</f>
        <v>2967-09-72</v>
      </c>
      <c r="E2130" s="3" t="str">
        <f>CLEAN("OLT UNION PACIFIC SEGMENT")</f>
        <v>OLT UNION PACIFIC SEGMENT</v>
      </c>
      <c r="F2130" s="3" t="str">
        <f>CLEAN("CRESTWOOD STREAM CULVERT")</f>
        <v>CRESTWOOD STREAM CULVERT</v>
      </c>
      <c r="G2130" s="3" t="str">
        <f>CLEAN("CONST/BIKE/PED CULVERT REPLACEMENT")</f>
        <v>CONST/BIKE/PED CULVERT REPLACEMENT</v>
      </c>
      <c r="H2130" s="2" t="str">
        <f t="shared" si="336"/>
        <v>NON HWY</v>
      </c>
      <c r="I2130" s="2" t="str">
        <f>CLEAN("290")</f>
        <v>290</v>
      </c>
    </row>
    <row r="2131" spans="1:9" x14ac:dyDescent="0.35">
      <c r="A2131" s="2" t="str">
        <f t="shared" si="334"/>
        <v>MILWAUKEE</v>
      </c>
      <c r="B2131" s="2" t="str">
        <f t="shared" si="335"/>
        <v>MILWAUKEE COUNTY PARKS</v>
      </c>
      <c r="C2131" s="2" t="s">
        <v>679</v>
      </c>
      <c r="D2131" s="2" t="str">
        <f>CLEAN("2967-11-71")</f>
        <v>2967-11-71</v>
      </c>
      <c r="E2131" s="3" t="str">
        <f>CLEAN("OAK LEAF TR CONNECTIVITY-BENDER PRK")</f>
        <v>OAK LEAF TR CONNECTIVITY-BENDER PRK</v>
      </c>
      <c r="F2131" s="3" t="str">
        <f>CLEAN("BENDER PARK")</f>
        <v>BENDER PARK</v>
      </c>
      <c r="G2131" s="3" t="str">
        <f>CLEAN("CONST/PED BIKE FACILITIES")</f>
        <v>CONST/PED BIKE FACILITIES</v>
      </c>
      <c r="H2131" s="2" t="str">
        <f t="shared" si="336"/>
        <v>NON HWY</v>
      </c>
      <c r="I2131" s="2" t="str">
        <f>CLEAN("211")</f>
        <v>211</v>
      </c>
    </row>
    <row r="2132" spans="1:9" x14ac:dyDescent="0.35">
      <c r="A2132" s="2" t="str">
        <f t="shared" si="334"/>
        <v>MILWAUKEE</v>
      </c>
      <c r="B2132" s="2" t="str">
        <f t="shared" si="335"/>
        <v>MILWAUKEE COUNTY PARKS</v>
      </c>
      <c r="C2132" s="2" t="s">
        <v>680</v>
      </c>
      <c r="D2132" s="2" t="str">
        <f>CLEAN("2967-11-72")</f>
        <v>2967-11-72</v>
      </c>
      <c r="E2132" s="3" t="str">
        <f>CLEAN("OAK LEAF TRAIL EXTENSION")</f>
        <v>OAK LEAF TRAIL EXTENSION</v>
      </c>
      <c r="F2132" s="3" t="str">
        <f>CLEAN("KOHL PARK CONNECTION")</f>
        <v>KOHL PARK CONNECTION</v>
      </c>
      <c r="G2132" s="3" t="str">
        <f>CLEAN("CONST/PED BIKE FACILITIES")</f>
        <v>CONST/PED BIKE FACILITIES</v>
      </c>
      <c r="H2132" s="2" t="str">
        <f t="shared" si="336"/>
        <v>NON HWY</v>
      </c>
      <c r="I2132" s="2" t="str">
        <f>CLEAN("211")</f>
        <v>211</v>
      </c>
    </row>
    <row r="2133" spans="1:9" x14ac:dyDescent="0.35">
      <c r="A2133" s="2" t="str">
        <f t="shared" si="334"/>
        <v>MILWAUKEE</v>
      </c>
      <c r="B2133" s="2" t="str">
        <f t="shared" si="335"/>
        <v>MILWAUKEE COUNTY PARKS</v>
      </c>
      <c r="C2133" s="2" t="s">
        <v>2803</v>
      </c>
      <c r="D2133" s="2" t="str">
        <f>CLEAN("2967-22-01")</f>
        <v>2967-22-01</v>
      </c>
      <c r="E2133" s="3" t="str">
        <f>CLEAN("OAK LEAF TRAIL ACCESS RAMP")</f>
        <v>OAK LEAF TRAIL ACCESS RAMP</v>
      </c>
      <c r="F2133" s="3" t="str">
        <f>CLEAN("CONNECTS TR AT KENWOOD/CAMBRIDGE")</f>
        <v>CONNECTS TR AT KENWOOD/CAMBRIDGE</v>
      </c>
      <c r="G2133" s="3" t="str">
        <f>CLEAN("PE/FULL PS/MISC")</f>
        <v>PE/FULL PS/MISC</v>
      </c>
      <c r="H2133" s="2" t="str">
        <f t="shared" si="336"/>
        <v>NON HWY</v>
      </c>
      <c r="I2133" s="2" t="str">
        <f>CLEAN("290")</f>
        <v>290</v>
      </c>
    </row>
    <row r="2134" spans="1:9" x14ac:dyDescent="0.35">
      <c r="A2134" s="2" t="str">
        <f t="shared" si="334"/>
        <v>MILWAUKEE</v>
      </c>
      <c r="B2134" s="2" t="str">
        <f t="shared" si="335"/>
        <v>MILWAUKEE COUNTY PARKS</v>
      </c>
      <c r="C2134" s="2" t="s">
        <v>2808</v>
      </c>
      <c r="D2134" s="2" t="str">
        <f>CLEAN("2967-22-02")</f>
        <v>2967-22-02</v>
      </c>
      <c r="E2134" s="3" t="str">
        <f>CLEAN("OAK LEAF TRAIL MODERNIZATION")</f>
        <v>OAK LEAF TRAIL MODERNIZATION</v>
      </c>
      <c r="F2134" s="3" t="str">
        <f>CLEAN("MILWAUKEE COUNTY WIDE ALONG OLT")</f>
        <v>MILWAUKEE COUNTY WIDE ALONG OLT</v>
      </c>
      <c r="G2134" s="3" t="str">
        <f>CLEAN("PE/FULL PS/MISC")</f>
        <v>PE/FULL PS/MISC</v>
      </c>
      <c r="H2134" s="2" t="str">
        <f t="shared" si="336"/>
        <v>NON HWY</v>
      </c>
      <c r="I2134" s="2" t="str">
        <f>CLEAN("290")</f>
        <v>290</v>
      </c>
    </row>
    <row r="2135" spans="1:9" x14ac:dyDescent="0.35">
      <c r="A2135" s="2" t="str">
        <f t="shared" si="334"/>
        <v>MILWAUKEE</v>
      </c>
      <c r="B2135" s="2" t="str">
        <f t="shared" si="335"/>
        <v>MILWAUKEE COUNTY PARKS</v>
      </c>
      <c r="C2135" s="2" t="s">
        <v>1084</v>
      </c>
      <c r="D2135" s="2" t="str">
        <f>CLEAN("2967-22-71")</f>
        <v>2967-22-71</v>
      </c>
      <c r="E2135" s="3" t="str">
        <f>CLEAN("OAK LEAF TRAIL ACCESS RAMP")</f>
        <v>OAK LEAF TRAIL ACCESS RAMP</v>
      </c>
      <c r="F2135" s="3" t="str">
        <f>CLEAN("CONNECTS TR AT KENWOOD/CAMBRIDGE")</f>
        <v>CONNECTS TR AT KENWOOD/CAMBRIDGE</v>
      </c>
      <c r="G2135" s="3" t="str">
        <f>CLEAN("CONST/TRAIL")</f>
        <v>CONST/TRAIL</v>
      </c>
      <c r="H2135" s="2" t="str">
        <f t="shared" si="336"/>
        <v>NON HWY</v>
      </c>
      <c r="I2135" s="2" t="str">
        <f>CLEAN("290")</f>
        <v>290</v>
      </c>
    </row>
    <row r="2136" spans="1:9" x14ac:dyDescent="0.35">
      <c r="A2136" s="2" t="str">
        <f t="shared" si="334"/>
        <v>MILWAUKEE</v>
      </c>
      <c r="B2136" s="2" t="str">
        <f t="shared" si="335"/>
        <v>MILWAUKEE COUNTY PARKS</v>
      </c>
      <c r="C2136" s="2" t="s">
        <v>1085</v>
      </c>
      <c r="D2136" s="2" t="str">
        <f>CLEAN("2967-22-72")</f>
        <v>2967-22-72</v>
      </c>
      <c r="E2136" s="3" t="str">
        <f>CLEAN("OAK LEAF TRAIL MODERNIZATION")</f>
        <v>OAK LEAF TRAIL MODERNIZATION</v>
      </c>
      <c r="F2136" s="3" t="str">
        <f>CLEAN("MILWAUKEE COUNTY WIDE ALONG OLT")</f>
        <v>MILWAUKEE COUNTY WIDE ALONG OLT</v>
      </c>
      <c r="G2136" s="3" t="str">
        <f>CLEAN("CONST/TRAIL")</f>
        <v>CONST/TRAIL</v>
      </c>
      <c r="H2136" s="2" t="str">
        <f t="shared" si="336"/>
        <v>NON HWY</v>
      </c>
      <c r="I2136" s="2" t="str">
        <f>CLEAN("290")</f>
        <v>290</v>
      </c>
    </row>
    <row r="2137" spans="1:9" x14ac:dyDescent="0.35">
      <c r="A2137" s="2" t="str">
        <f t="shared" si="334"/>
        <v>MILWAUKEE</v>
      </c>
      <c r="B2137" s="2" t="str">
        <f t="shared" si="335"/>
        <v>MILWAUKEE COUNTY PARKS</v>
      </c>
      <c r="C2137" s="2" t="s">
        <v>677</v>
      </c>
      <c r="D2137" s="2" t="str">
        <f>CLEAN("2987-06-72")</f>
        <v>2987-06-72</v>
      </c>
      <c r="E2137" s="3" t="str">
        <f>CLEAN("OAK LEAF TRAIL-BENDER PARK CONNECTR")</f>
        <v>OAK LEAF TRAIL-BENDER PARK CONNECTR</v>
      </c>
      <c r="F2137" s="3" t="str">
        <f>CLEAN("DREXEL AVE TO RYAN ROAD")</f>
        <v>DREXEL AVE TO RYAN ROAD</v>
      </c>
      <c r="G2137" s="3" t="str">
        <f>CLEAN("CONST/PED &amp; BIKE")</f>
        <v>CONST/PED &amp; BIKE</v>
      </c>
      <c r="H2137" s="2" t="str">
        <f t="shared" si="336"/>
        <v>NON HWY</v>
      </c>
      <c r="I2137" s="2" t="str">
        <f>CLEAN("290")</f>
        <v>290</v>
      </c>
    </row>
    <row r="2138" spans="1:9" x14ac:dyDescent="0.35">
      <c r="A2138" s="2" t="str">
        <f t="shared" si="334"/>
        <v>MILWAUKEE</v>
      </c>
      <c r="B2138" s="2" t="str">
        <f>CLEAN("MILWAUKEE METRO SEWERAGE DIST")</f>
        <v>MILWAUKEE METRO SEWERAGE DIST</v>
      </c>
      <c r="C2138" s="2" t="s">
        <v>818</v>
      </c>
      <c r="D2138" s="2" t="str">
        <f>CLEAN("1229-04-73")</f>
        <v>1229-04-73</v>
      </c>
      <c r="E2138" s="3" t="str">
        <f>CLEAN("I-43 NORTH SOUTH FREEWAY")</f>
        <v>I-43 NORTH SOUTH FREEWAY</v>
      </c>
      <c r="F2138" s="3" t="str">
        <f>CLEAN("BENDER ROAD TO BROWN DEER ROAD")</f>
        <v>BENDER ROAD TO BROWN DEER ROAD</v>
      </c>
      <c r="G2138" s="3" t="str">
        <f>CLEAN("CONST/RECONSTRUCTION W/ EXPANSION")</f>
        <v>CONST/RECONSTRUCTION W/ EXPANSION</v>
      </c>
      <c r="H2138" s="2" t="str">
        <f>CLEAN("IH  043")</f>
        <v>IH  043</v>
      </c>
      <c r="I2138" s="2" t="str">
        <f>CLEAN("302")</f>
        <v>302</v>
      </c>
    </row>
    <row r="2139" spans="1:9" x14ac:dyDescent="0.35">
      <c r="A2139" s="2" t="str">
        <f t="shared" si="334"/>
        <v>MILWAUKEE</v>
      </c>
      <c r="B2139" s="2" t="str">
        <f>CLEAN("MILWAUKEE METRO SEWERAGE DIST")</f>
        <v>MILWAUKEE METRO SEWERAGE DIST</v>
      </c>
      <c r="C2139" s="2" t="s">
        <v>381</v>
      </c>
      <c r="D2139" s="2" t="str">
        <f>CLEAN("1360-13-70")</f>
        <v>1360-13-70</v>
      </c>
      <c r="E2139" s="3" t="str">
        <f>CLEAN("C MILWAUKEE  FOND DU LAC AVE")</f>
        <v>C MILWAUKEE  FOND DU LAC AVE</v>
      </c>
      <c r="F2139" s="3" t="str">
        <f>CLEAN("76TH  PED BRIDGES")</f>
        <v>76TH  PED BRIDGES</v>
      </c>
      <c r="G2139" s="3" t="str">
        <f>CLEAN("CONST/BRIDGE REHAB")</f>
        <v>CONST/BRIDGE REHAB</v>
      </c>
      <c r="H2139" s="2" t="str">
        <f>CLEAN("STH 145")</f>
        <v>STH 145</v>
      </c>
      <c r="I2139" s="2" t="str">
        <f>CLEAN("303")</f>
        <v>303</v>
      </c>
    </row>
    <row r="2140" spans="1:9" x14ac:dyDescent="0.35">
      <c r="A2140" s="2" t="str">
        <f t="shared" si="334"/>
        <v>MILWAUKEE</v>
      </c>
      <c r="B2140" s="2" t="str">
        <f>CLEAN("MILWAUKEE METRO SEWERAGE DIST")</f>
        <v>MILWAUKEE METRO SEWERAGE DIST</v>
      </c>
      <c r="C2140" s="2" t="s">
        <v>1003</v>
      </c>
      <c r="D2140" s="2" t="str">
        <f>CLEAN("2150-00-71")</f>
        <v>2150-00-71</v>
      </c>
      <c r="E2140" s="3" t="str">
        <f>CLEAN("BROWN DEER RD C MILW &amp; V BRWN DEER")</f>
        <v>BROWN DEER RD C MILW &amp; V BRWN DEER</v>
      </c>
      <c r="F2140" s="3" t="str">
        <f>CLEAN("91ST STREET TO DEERBROOK TRAIL")</f>
        <v>91ST STREET TO DEERBROOK TRAIL</v>
      </c>
      <c r="G2140" s="3" t="str">
        <f>CLEAN("CONST/RESURFACING")</f>
        <v>CONST/RESURFACING</v>
      </c>
      <c r="H2140" s="2" t="str">
        <f>CLEAN("STH 100")</f>
        <v>STH 100</v>
      </c>
      <c r="I2140" s="2" t="str">
        <f>CLEAN("303")</f>
        <v>303</v>
      </c>
    </row>
    <row r="2141" spans="1:9" x14ac:dyDescent="0.35">
      <c r="A2141" s="2" t="str">
        <f t="shared" si="334"/>
        <v>MILWAUKEE</v>
      </c>
      <c r="B2141" s="2" t="str">
        <f>CLEAN("MILWAUKEE PUBLIC SCHOOL SYSTEM")</f>
        <v>MILWAUKEE PUBLIC SCHOOL SYSTEM</v>
      </c>
      <c r="C2141" s="2" t="s">
        <v>2570</v>
      </c>
      <c r="D2141" s="2" t="str">
        <f>CLEAN("1009-01-11")</f>
        <v>1009-01-11</v>
      </c>
      <c r="E2141" s="3" t="str">
        <f>CLEAN("MPS/ BIKE FED SRTS PROGRAM")</f>
        <v>MPS/ BIKE FED SRTS PROGRAM</v>
      </c>
      <c r="F2141" s="3" t="str">
        <f>CLEAN("SFY 2019 (YR1 OF 2)")</f>
        <v>SFY 2019 (YR1 OF 2)</v>
      </c>
      <c r="G2141" s="3" t="str">
        <f>CLEAN("Milwaukee Public Schools Program")</f>
        <v>Milwaukee Public Schools Program</v>
      </c>
      <c r="H2141" s="2" t="str">
        <f>CLEAN("NON HWY")</f>
        <v>NON HWY</v>
      </c>
      <c r="I2141" s="2" t="str">
        <f>CLEAN("290")</f>
        <v>290</v>
      </c>
    </row>
    <row r="2142" spans="1:9" x14ac:dyDescent="0.35">
      <c r="A2142" s="2" t="str">
        <f t="shared" si="334"/>
        <v>MILWAUKEE</v>
      </c>
      <c r="B2142" s="2" t="str">
        <f>CLEAN("MILWAUKEE PUBLIC SCHOOL SYSTEM")</f>
        <v>MILWAUKEE PUBLIC SCHOOL SYSTEM</v>
      </c>
      <c r="C2142" s="2" t="s">
        <v>2571</v>
      </c>
      <c r="D2142" s="2" t="str">
        <f>CLEAN("1009-01-12")</f>
        <v>1009-01-12</v>
      </c>
      <c r="E2142" s="3" t="str">
        <f>CLEAN("MPS/ BIKE FED SRTS PROGRAM")</f>
        <v>MPS/ BIKE FED SRTS PROGRAM</v>
      </c>
      <c r="F2142" s="3" t="str">
        <f>CLEAN("SFY 2019 (YR1 OF 2)")</f>
        <v>SFY 2019 (YR1 OF 2)</v>
      </c>
      <c r="G2142" s="3" t="str">
        <f>CLEAN("Milwaukee Public Schools Program")</f>
        <v>Milwaukee Public Schools Program</v>
      </c>
      <c r="H2142" s="2" t="str">
        <f>CLEAN("NON HWY")</f>
        <v>NON HWY</v>
      </c>
      <c r="I2142" s="2" t="str">
        <f>CLEAN("290")</f>
        <v>290</v>
      </c>
    </row>
    <row r="2143" spans="1:9" x14ac:dyDescent="0.35">
      <c r="A2143" s="2" t="str">
        <f t="shared" si="334"/>
        <v>MILWAUKEE</v>
      </c>
      <c r="B2143" s="2" t="str">
        <f>CLEAN("MILWAUKEE PUBLIC SCHOOL SYSTEM")</f>
        <v>MILWAUKEE PUBLIC SCHOOL SYSTEM</v>
      </c>
      <c r="C2143" s="2" t="s">
        <v>2599</v>
      </c>
      <c r="D2143" s="2" t="str">
        <f>CLEAN("1009-01-23")</f>
        <v>1009-01-23</v>
      </c>
      <c r="E2143" s="3" t="str">
        <f>CLEAN("MPS SRTS Program Yr 1 of 2")</f>
        <v>MPS SRTS Program Yr 1 of 2</v>
      </c>
      <c r="F2143" s="3" t="str">
        <f>CLEAN("DISTRICT WIDE SAFE ROUTES TO SCHOOL")</f>
        <v>DISTRICT WIDE SAFE ROUTES TO SCHOOL</v>
      </c>
      <c r="G2143" s="3" t="str">
        <f>CLEAN("NON-INF SRTS YR 1 OF 2")</f>
        <v>NON-INF SRTS YR 1 OF 2</v>
      </c>
      <c r="H2143" s="2" t="str">
        <f>CLEAN("NON HWY")</f>
        <v>NON HWY</v>
      </c>
      <c r="I2143" s="2" t="str">
        <f>CLEAN("290")</f>
        <v>290</v>
      </c>
    </row>
    <row r="2144" spans="1:9" x14ac:dyDescent="0.35">
      <c r="A2144" s="2" t="str">
        <f t="shared" si="334"/>
        <v>MILWAUKEE</v>
      </c>
      <c r="B2144" s="2" t="str">
        <f>CLEAN("MILWAUKEE PUBLIC SCHOOL SYSTEM")</f>
        <v>MILWAUKEE PUBLIC SCHOOL SYSTEM</v>
      </c>
      <c r="C2144" s="2" t="s">
        <v>2594</v>
      </c>
      <c r="D2144" s="2" t="str">
        <f>CLEAN("1009-01-24")</f>
        <v>1009-01-24</v>
      </c>
      <c r="E2144" s="3" t="str">
        <f>CLEAN("MPS SRTS Yr 2 of 2")</f>
        <v>MPS SRTS Yr 2 of 2</v>
      </c>
      <c r="F2144" s="3" t="str">
        <f>CLEAN("DISTRICT-WIDE SAFE ROUTES TO SCHOOL")</f>
        <v>DISTRICT-WIDE SAFE ROUTES TO SCHOOL</v>
      </c>
      <c r="G2144" s="3" t="str">
        <f>CLEAN("NON-INF SAFE ROUTES TO SCHOOL")</f>
        <v>NON-INF SAFE ROUTES TO SCHOOL</v>
      </c>
      <c r="H2144" s="2" t="str">
        <f>CLEAN("NON HWY")</f>
        <v>NON HWY</v>
      </c>
      <c r="I2144" s="2" t="str">
        <f>CLEAN("290")</f>
        <v>290</v>
      </c>
    </row>
    <row r="2145" spans="1:9" x14ac:dyDescent="0.35">
      <c r="A2145" s="2" t="str">
        <f t="shared" si="334"/>
        <v>MILWAUKEE</v>
      </c>
      <c r="B2145" s="2" t="str">
        <f>CLEAN("MILWAUKEE PUBLIC SCHOOL SYSTEM")</f>
        <v>MILWAUKEE PUBLIC SCHOOL SYSTEM</v>
      </c>
      <c r="C2145" s="2" t="s">
        <v>5</v>
      </c>
      <c r="D2145" s="2" t="str">
        <f>CLEAN("1009-01-38")</f>
        <v>1009-01-38</v>
      </c>
      <c r="E2145" s="3" t="str">
        <f>CLEAN("MPS SRTS EDU &amp; ENCOURGMNT PROGRAM")</f>
        <v>MPS SRTS EDU &amp; ENCOURGMNT PROGRAM</v>
      </c>
      <c r="F2145" s="3" t="str">
        <f>CLEAN("DISTRICT WIDE SAFE ROUTES TO SCHOOL")</f>
        <v>DISTRICT WIDE SAFE ROUTES TO SCHOOL</v>
      </c>
      <c r="G2145" s="3" t="str">
        <f>CLEAN("2 YEAR SRTS PROJECT")</f>
        <v>2 YEAR SRTS PROJECT</v>
      </c>
      <c r="H2145" s="2" t="str">
        <f>CLEAN("NON HWY")</f>
        <v>NON HWY</v>
      </c>
      <c r="I2145" s="2" t="str">
        <f>CLEAN("290")</f>
        <v>290</v>
      </c>
    </row>
    <row r="2146" spans="1:9" x14ac:dyDescent="0.35">
      <c r="A2146" s="2" t="str">
        <f t="shared" si="334"/>
        <v>MILWAUKEE</v>
      </c>
      <c r="B2146" s="2" t="str">
        <f t="shared" ref="B2146:B2165" si="337">CLEAN("MILWAUKEE WATER WORKS")</f>
        <v>MILWAUKEE WATER WORKS</v>
      </c>
      <c r="C2146" s="2" t="s">
        <v>843</v>
      </c>
      <c r="D2146" s="2" t="str">
        <f>CLEAN("1060-27-71")</f>
        <v>1060-27-71</v>
      </c>
      <c r="E2146" s="3" t="str">
        <f>CLEAN("I-94 EAST WEST  WEST LEG")</f>
        <v>I-94 EAST WEST  WEST LEG</v>
      </c>
      <c r="F2146" s="3" t="str">
        <f>CLEAN("70TH STREET TO ZABLOCKI DRIVE")</f>
        <v>70TH STREET TO ZABLOCKI DRIVE</v>
      </c>
      <c r="G2146" s="3" t="str">
        <f>CLEAN("CONST/RECSTE")</f>
        <v>CONST/RECSTE</v>
      </c>
      <c r="H2146" s="2" t="str">
        <f>CLEAN("IH  094")</f>
        <v>IH  094</v>
      </c>
      <c r="I2146" s="2" t="str">
        <f>CLEAN("301EW")</f>
        <v>301EW</v>
      </c>
    </row>
    <row r="2147" spans="1:9" x14ac:dyDescent="0.35">
      <c r="A2147" s="2" t="str">
        <f t="shared" si="334"/>
        <v>MILWAUKEE</v>
      </c>
      <c r="B2147" s="2" t="str">
        <f t="shared" si="337"/>
        <v>MILWAUKEE WATER WORKS</v>
      </c>
      <c r="C2147" s="2" t="s">
        <v>822</v>
      </c>
      <c r="D2147" s="2" t="str">
        <f>CLEAN("1060-27-74")</f>
        <v>1060-27-74</v>
      </c>
      <c r="E2147" s="3" t="str">
        <f>CLEAN("I-94 EAST WEST  EARLY EAST LEG")</f>
        <v>I-94 EAST WEST  EARLY EAST LEG</v>
      </c>
      <c r="F2147" s="3" t="str">
        <f>CLEAN("30TH STREET TO 25TH STREET")</f>
        <v>30TH STREET TO 25TH STREET</v>
      </c>
      <c r="G2147" s="3" t="str">
        <f>CLEAN("CONST/RECST")</f>
        <v>CONST/RECST</v>
      </c>
      <c r="H2147" s="2" t="str">
        <f>CLEAN("IH  094")</f>
        <v>IH  094</v>
      </c>
      <c r="I2147" s="2" t="str">
        <f>CLEAN("301EW")</f>
        <v>301EW</v>
      </c>
    </row>
    <row r="2148" spans="1:9" x14ac:dyDescent="0.35">
      <c r="A2148" s="2" t="str">
        <f>CLEAN("WAUKESHA")</f>
        <v>WAUKESHA</v>
      </c>
      <c r="B2148" s="2" t="str">
        <f t="shared" si="337"/>
        <v>MILWAUKEE WATER WORKS</v>
      </c>
      <c r="C2148" s="2" t="s">
        <v>976</v>
      </c>
      <c r="D2148" s="2" t="str">
        <f>CLEAN("1090-08-71")</f>
        <v>1090-08-71</v>
      </c>
      <c r="E2148" s="3" t="str">
        <f>CLEAN("IH 43 ROCK FREEWAY")</f>
        <v>IH 43 ROCK FREEWAY</v>
      </c>
      <c r="F2148" s="3" t="str">
        <f>CLEAN("MOORLAND RD TO HALE I/C")</f>
        <v>MOORLAND RD TO HALE I/C</v>
      </c>
      <c r="G2148" s="3" t="str">
        <f>CLEAN("CONST/RESURFACE")</f>
        <v>CONST/RESURFACE</v>
      </c>
      <c r="H2148" s="2" t="str">
        <f>CLEAN("IH  043")</f>
        <v>IH  043</v>
      </c>
      <c r="I2148" s="2" t="str">
        <f t="shared" ref="I2148:I2163" si="338">CLEAN("303")</f>
        <v>303</v>
      </c>
    </row>
    <row r="2149" spans="1:9" x14ac:dyDescent="0.35">
      <c r="A2149" s="2" t="str">
        <f t="shared" ref="A2149:A2165" si="339">CLEAN("MILWAUKEE")</f>
        <v>MILWAUKEE</v>
      </c>
      <c r="B2149" s="2" t="str">
        <f t="shared" si="337"/>
        <v>MILWAUKEE WATER WORKS</v>
      </c>
      <c r="C2149" s="2" t="s">
        <v>950</v>
      </c>
      <c r="D2149" s="2" t="str">
        <f>CLEAN("1100-05-73")</f>
        <v>1100-05-73</v>
      </c>
      <c r="E2149" s="3" t="str">
        <f>CLEAN("IH 41 AIRPORT FREEWAY")</f>
        <v>IH 41 AIRPORT FREEWAY</v>
      </c>
      <c r="F2149" s="3" t="str">
        <f>CLEAN("84TH STREET TO N LINCOLN AVE")</f>
        <v>84TH STREET TO N LINCOLN AVE</v>
      </c>
      <c r="G2149" s="3" t="str">
        <f>CLEAN("CONST/RESURFACE")</f>
        <v>CONST/RESURFACE</v>
      </c>
      <c r="H2149" s="2" t="str">
        <f>CLEAN("IH  041")</f>
        <v>IH  041</v>
      </c>
      <c r="I2149" s="2" t="str">
        <f t="shared" si="338"/>
        <v>303</v>
      </c>
    </row>
    <row r="2150" spans="1:9" x14ac:dyDescent="0.35">
      <c r="A2150" s="2" t="str">
        <f t="shared" si="339"/>
        <v>MILWAUKEE</v>
      </c>
      <c r="B2150" s="2" t="str">
        <f t="shared" si="337"/>
        <v>MILWAUKEE WATER WORKS</v>
      </c>
      <c r="C2150" s="2" t="s">
        <v>1001</v>
      </c>
      <c r="D2150" s="2" t="str">
        <f>CLEAN("1228-09-76")</f>
        <v>1228-09-76</v>
      </c>
      <c r="E2150" s="3" t="str">
        <f>CLEAN("IH 43 NORTH SOUTH FREEWAY")</f>
        <v>IH 43 NORTH SOUTH FREEWAY</v>
      </c>
      <c r="F2150" s="3" t="str">
        <f>CLEAN("MITCHELL IC-MARQUETTE IC ON/OFF RMP")</f>
        <v>MITCHELL IC-MARQUETTE IC ON/OFF RMP</v>
      </c>
      <c r="G2150" s="3" t="str">
        <f>CLEAN("CONST/RESURFACE/BRIDGE MAINTENANCE")</f>
        <v>CONST/RESURFACE/BRIDGE MAINTENANCE</v>
      </c>
      <c r="H2150" s="2" t="str">
        <f>CLEAN("IH  043")</f>
        <v>IH  043</v>
      </c>
      <c r="I2150" s="2" t="str">
        <f t="shared" si="338"/>
        <v>303</v>
      </c>
    </row>
    <row r="2151" spans="1:9" x14ac:dyDescent="0.35">
      <c r="A2151" s="2" t="str">
        <f t="shared" si="339"/>
        <v>MILWAUKEE</v>
      </c>
      <c r="B2151" s="2" t="str">
        <f t="shared" si="337"/>
        <v>MILWAUKEE WATER WORKS</v>
      </c>
      <c r="C2151" s="2" t="s">
        <v>759</v>
      </c>
      <c r="D2151" s="2" t="str">
        <f>CLEAN("1228-09-77")</f>
        <v>1228-09-77</v>
      </c>
      <c r="E2151" s="3" t="str">
        <f>CLEAN("IH 43 NORTH SOUTH FREEWAY")</f>
        <v>IH 43 NORTH SOUTH FREEWAY</v>
      </c>
      <c r="F2151" s="3" t="str">
        <f>CLEAN("BECHER I/C")</f>
        <v>BECHER I/C</v>
      </c>
      <c r="G2151" s="3" t="str">
        <f>CLEAN("CONST/RECONSTRUCT")</f>
        <v>CONST/RECONSTRUCT</v>
      </c>
      <c r="H2151" s="2" t="str">
        <f>CLEAN("OFF SYS")</f>
        <v>OFF SYS</v>
      </c>
      <c r="I2151" s="2" t="str">
        <f t="shared" si="338"/>
        <v>303</v>
      </c>
    </row>
    <row r="2152" spans="1:9" x14ac:dyDescent="0.35">
      <c r="A2152" s="2" t="str">
        <f t="shared" si="339"/>
        <v>MILWAUKEE</v>
      </c>
      <c r="B2152" s="2" t="str">
        <f t="shared" si="337"/>
        <v>MILWAUKEE WATER WORKS</v>
      </c>
      <c r="C2152" s="2" t="s">
        <v>45</v>
      </c>
      <c r="D2152" s="2" t="str">
        <f>CLEAN("1228-22-70")</f>
        <v>1228-22-70</v>
      </c>
      <c r="E2152" s="3" t="str">
        <f>CLEAN("IH 43 NORTH SOUTH FREEWAY")</f>
        <v>IH 43 NORTH SOUTH FREEWAY</v>
      </c>
      <c r="F2152" s="3" t="str">
        <f>CLEAN("BROWN STREET TO CAPITOL DRIVE")</f>
        <v>BROWN STREET TO CAPITOL DRIVE</v>
      </c>
      <c r="G2152" s="3" t="str">
        <f>CLEAN("CONST / RESURFACE")</f>
        <v>CONST / RESURFACE</v>
      </c>
      <c r="H2152" s="2" t="str">
        <f>CLEAN("IH  043")</f>
        <v>IH  043</v>
      </c>
      <c r="I2152" s="2" t="str">
        <f t="shared" si="338"/>
        <v>303</v>
      </c>
    </row>
    <row r="2153" spans="1:9" x14ac:dyDescent="0.35">
      <c r="A2153" s="2" t="str">
        <f t="shared" si="339"/>
        <v>MILWAUKEE</v>
      </c>
      <c r="B2153" s="2" t="str">
        <f t="shared" si="337"/>
        <v>MILWAUKEE WATER WORKS</v>
      </c>
      <c r="C2153" s="2" t="s">
        <v>387</v>
      </c>
      <c r="D2153" s="2" t="str">
        <f>CLEAN("1228-22-73")</f>
        <v>1228-22-73</v>
      </c>
      <c r="E2153" s="3" t="str">
        <f>CLEAN("IH 43 NORTH SOUTH FREEWAY")</f>
        <v>IH 43 NORTH SOUTH FREEWAY</v>
      </c>
      <c r="F2153" s="3" t="str">
        <f>CLEAN("HALYARD ST TO CAPITOL DRIVE")</f>
        <v>HALYARD ST TO CAPITOL DRIVE</v>
      </c>
      <c r="G2153" s="3" t="str">
        <f>CLEAN("CONST/BRIDGE REHAB")</f>
        <v>CONST/BRIDGE REHAB</v>
      </c>
      <c r="H2153" s="2" t="str">
        <f>CLEAN("IH  043")</f>
        <v>IH  043</v>
      </c>
      <c r="I2153" s="2" t="str">
        <f t="shared" si="338"/>
        <v>303</v>
      </c>
    </row>
    <row r="2154" spans="1:9" x14ac:dyDescent="0.35">
      <c r="A2154" s="2" t="str">
        <f t="shared" si="339"/>
        <v>MILWAUKEE</v>
      </c>
      <c r="B2154" s="2" t="str">
        <f t="shared" si="337"/>
        <v>MILWAUKEE WATER WORKS</v>
      </c>
      <c r="C2154" s="2" t="s">
        <v>386</v>
      </c>
      <c r="D2154" s="2" t="str">
        <f>CLEAN("1360-11-70")</f>
        <v>1360-11-70</v>
      </c>
      <c r="E2154" s="3" t="str">
        <f>CLEAN("FOND DU LAC AVE (STH 145)")</f>
        <v>FOND DU LAC AVE (STH 145)</v>
      </c>
      <c r="F2154" s="3" t="str">
        <f>CLEAN("GRANTOSA FLAGG/FLORIST BRIDGES")</f>
        <v>GRANTOSA FLAGG/FLORIST BRIDGES</v>
      </c>
      <c r="G2154" s="3" t="str">
        <f>CLEAN("CONST/BRIDGE REHAB")</f>
        <v>CONST/BRIDGE REHAB</v>
      </c>
      <c r="H2154" s="2" t="str">
        <f>CLEAN("STH 145")</f>
        <v>STH 145</v>
      </c>
      <c r="I2154" s="2" t="str">
        <f t="shared" si="338"/>
        <v>303</v>
      </c>
    </row>
    <row r="2155" spans="1:9" x14ac:dyDescent="0.35">
      <c r="A2155" s="2" t="str">
        <f t="shared" si="339"/>
        <v>MILWAUKEE</v>
      </c>
      <c r="B2155" s="2" t="str">
        <f t="shared" si="337"/>
        <v>MILWAUKEE WATER WORKS</v>
      </c>
      <c r="C2155" s="2" t="s">
        <v>391</v>
      </c>
      <c r="D2155" s="2" t="str">
        <f>CLEAN("1360-13-71")</f>
        <v>1360-13-71</v>
      </c>
      <c r="E2155" s="3" t="str">
        <f>CLEAN("C MILWAUKEE  FOND DU LAC AVE")</f>
        <v>C MILWAUKEE  FOND DU LAC AVE</v>
      </c>
      <c r="F2155" s="3" t="str">
        <f>CLEAN("SILVER SPRING BRIDGES B40-253-4")</f>
        <v>SILVER SPRING BRIDGES B40-253-4</v>
      </c>
      <c r="G2155" s="3" t="str">
        <f>CLEAN("CONST/BRIDGE REHAB")</f>
        <v>CONST/BRIDGE REHAB</v>
      </c>
      <c r="H2155" s="2" t="str">
        <f>CLEAN("STH 145")</f>
        <v>STH 145</v>
      </c>
      <c r="I2155" s="2" t="str">
        <f t="shared" si="338"/>
        <v>303</v>
      </c>
    </row>
    <row r="2156" spans="1:9" x14ac:dyDescent="0.35">
      <c r="A2156" s="2" t="str">
        <f t="shared" si="339"/>
        <v>MILWAUKEE</v>
      </c>
      <c r="B2156" s="2" t="str">
        <f t="shared" si="337"/>
        <v>MILWAUKEE WATER WORKS</v>
      </c>
      <c r="C2156" s="2" t="s">
        <v>471</v>
      </c>
      <c r="D2156" s="2" t="str">
        <f>CLEAN("2030-10-71")</f>
        <v>2030-10-71</v>
      </c>
      <c r="E2156" s="3" t="str">
        <f>CLEAN("N MAYFAIR RD/N LOVERS LN")</f>
        <v>N MAYFAIR RD/N LOVERS LN</v>
      </c>
      <c r="F2156" s="3" t="str">
        <f>CLEAN("W BURLEIGH ST TO W SILVER SPRING DR")</f>
        <v>W BURLEIGH ST TO W SILVER SPRING DR</v>
      </c>
      <c r="G2156" s="3" t="str">
        <f>CLEAN("CONST/BRIDGE REPLACEMENT")</f>
        <v>CONST/BRIDGE REPLACEMENT</v>
      </c>
      <c r="H2156" s="2" t="str">
        <f>CLEAN("STH 100")</f>
        <v>STH 100</v>
      </c>
      <c r="I2156" s="2" t="str">
        <f t="shared" si="338"/>
        <v>303</v>
      </c>
    </row>
    <row r="2157" spans="1:9" x14ac:dyDescent="0.35">
      <c r="A2157" s="2" t="str">
        <f t="shared" si="339"/>
        <v>MILWAUKEE</v>
      </c>
      <c r="B2157" s="2" t="str">
        <f t="shared" si="337"/>
        <v>MILWAUKEE WATER WORKS</v>
      </c>
      <c r="C2157" s="2" t="s">
        <v>981</v>
      </c>
      <c r="D2157" s="2" t="str">
        <f>CLEAN("2060-20-70")</f>
        <v>2060-20-70</v>
      </c>
      <c r="E2157" s="3" t="str">
        <f>CLEAN("RACINE - MILWAUKEE")</f>
        <v>RACINE - MILWAUKEE</v>
      </c>
      <c r="F2157" s="3" t="str">
        <f>CLEAN("OAKWOOD RD TO GRANGE AVE")</f>
        <v>OAKWOOD RD TO GRANGE AVE</v>
      </c>
      <c r="G2157" s="3" t="str">
        <f>CLEAN("CONST/RESURFACE")</f>
        <v>CONST/RESURFACE</v>
      </c>
      <c r="H2157" s="2" t="str">
        <f>CLEAN("STH 038")</f>
        <v>STH 038</v>
      </c>
      <c r="I2157" s="2" t="str">
        <f t="shared" si="338"/>
        <v>303</v>
      </c>
    </row>
    <row r="2158" spans="1:9" x14ac:dyDescent="0.35">
      <c r="A2158" s="2" t="str">
        <f t="shared" si="339"/>
        <v>MILWAUKEE</v>
      </c>
      <c r="B2158" s="2" t="str">
        <f t="shared" si="337"/>
        <v>MILWAUKEE WATER WORKS</v>
      </c>
      <c r="C2158" s="2" t="s">
        <v>996</v>
      </c>
      <c r="D2158" s="2" t="str">
        <f>CLEAN("2120-18-70")</f>
        <v>2120-18-70</v>
      </c>
      <c r="E2158" s="3" t="str">
        <f>CLEAN("HALES CORNERS - MILWAUKEE")</f>
        <v>HALES CORNERS - MILWAUKEE</v>
      </c>
      <c r="F2158" s="3" t="str">
        <f>CLEAN("USH 45 TO 45TH STREET")</f>
        <v>USH 45 TO 45TH STREET</v>
      </c>
      <c r="G2158" s="3" t="str">
        <f>CLEAN("CONST/RESURFACE")</f>
        <v>CONST/RESURFACE</v>
      </c>
      <c r="H2158" s="2" t="str">
        <f>CLEAN("STH 024")</f>
        <v>STH 024</v>
      </c>
      <c r="I2158" s="2" t="str">
        <f t="shared" si="338"/>
        <v>303</v>
      </c>
    </row>
    <row r="2159" spans="1:9" x14ac:dyDescent="0.35">
      <c r="A2159" s="2" t="str">
        <f t="shared" si="339"/>
        <v>MILWAUKEE</v>
      </c>
      <c r="B2159" s="2" t="str">
        <f t="shared" si="337"/>
        <v>MILWAUKEE WATER WORKS</v>
      </c>
      <c r="C2159" s="2" t="s">
        <v>965</v>
      </c>
      <c r="D2159" s="2" t="str">
        <f>CLEAN("2140-14-70")</f>
        <v>2140-14-70</v>
      </c>
      <c r="E2159" s="3" t="str">
        <f>CLEAN("C MILWAUKEE 76TH STREET")</f>
        <v>C MILWAUKEE 76TH STREET</v>
      </c>
      <c r="F2159" s="3" t="str">
        <f>CLEAN("FLORIST AVE TO CTH Q")</f>
        <v>FLORIST AVE TO CTH Q</v>
      </c>
      <c r="G2159" s="3" t="str">
        <f>CLEAN("CONST/RESURFACE")</f>
        <v>CONST/RESURFACE</v>
      </c>
      <c r="H2159" s="2" t="str">
        <f>CLEAN("STH 181")</f>
        <v>STH 181</v>
      </c>
      <c r="I2159" s="2" t="str">
        <f t="shared" si="338"/>
        <v>303</v>
      </c>
    </row>
    <row r="2160" spans="1:9" x14ac:dyDescent="0.35">
      <c r="A2160" s="2" t="str">
        <f t="shared" si="339"/>
        <v>MILWAUKEE</v>
      </c>
      <c r="B2160" s="2" t="str">
        <f t="shared" si="337"/>
        <v>MILWAUKEE WATER WORKS</v>
      </c>
      <c r="C2160" s="2" t="s">
        <v>1003</v>
      </c>
      <c r="D2160" s="2" t="str">
        <f>CLEAN("2150-00-71")</f>
        <v>2150-00-71</v>
      </c>
      <c r="E2160" s="3" t="str">
        <f>CLEAN("BROWN DEER RD C MILW &amp; V BRWN DEER")</f>
        <v>BROWN DEER RD C MILW &amp; V BRWN DEER</v>
      </c>
      <c r="F2160" s="3" t="str">
        <f>CLEAN("91ST STREET TO DEERBROOK TRAIL")</f>
        <v>91ST STREET TO DEERBROOK TRAIL</v>
      </c>
      <c r="G2160" s="3" t="str">
        <f>CLEAN("CONST/RESURFACING")</f>
        <v>CONST/RESURFACING</v>
      </c>
      <c r="H2160" s="2" t="str">
        <f>CLEAN("STH 100")</f>
        <v>STH 100</v>
      </c>
      <c r="I2160" s="2" t="str">
        <f t="shared" si="338"/>
        <v>303</v>
      </c>
    </row>
    <row r="2161" spans="1:9" x14ac:dyDescent="0.35">
      <c r="A2161" s="2" t="str">
        <f t="shared" si="339"/>
        <v>MILWAUKEE</v>
      </c>
      <c r="B2161" s="2" t="str">
        <f t="shared" si="337"/>
        <v>MILWAUKEE WATER WORKS</v>
      </c>
      <c r="C2161" s="2" t="s">
        <v>1019</v>
      </c>
      <c r="D2161" s="2" t="str">
        <f>CLEAN("2265-11-72")</f>
        <v>2265-11-72</v>
      </c>
      <c r="E2161" s="3" t="str">
        <f>CLEAN("C GREENFIELD/MILWAUKEE  S 27TH ST")</f>
        <v>C GREENFIELD/MILWAUKEE  S 27TH ST</v>
      </c>
      <c r="F2161" s="3" t="str">
        <f>CLEAN("W BOTTSFORD AVE TO W HOWARD AVE")</f>
        <v>W BOTTSFORD AVE TO W HOWARD AVE</v>
      </c>
      <c r="G2161" s="3" t="str">
        <f>CLEAN("CONST/RSRF25")</f>
        <v>CONST/RSRF25</v>
      </c>
      <c r="H2161" s="2" t="str">
        <f>CLEAN("STH 241")</f>
        <v>STH 241</v>
      </c>
      <c r="I2161" s="2" t="str">
        <f t="shared" si="338"/>
        <v>303</v>
      </c>
    </row>
    <row r="2162" spans="1:9" x14ac:dyDescent="0.35">
      <c r="A2162" s="2" t="str">
        <f t="shared" si="339"/>
        <v>MILWAUKEE</v>
      </c>
      <c r="B2162" s="2" t="str">
        <f t="shared" si="337"/>
        <v>MILWAUKEE WATER WORKS</v>
      </c>
      <c r="C2162" s="2" t="s">
        <v>956</v>
      </c>
      <c r="D2162" s="2" t="str">
        <f>CLEAN("2265-18-70")</f>
        <v>2265-18-70</v>
      </c>
      <c r="E2162" s="3" t="str">
        <f>CLEAN("OAK CREEK - MILWAUKEE")</f>
        <v>OAK CREEK - MILWAUKEE</v>
      </c>
      <c r="F2162" s="3" t="str">
        <f>CLEAN("COLLEGE AVE TO LAYTON AVE")</f>
        <v>COLLEGE AVE TO LAYTON AVE</v>
      </c>
      <c r="G2162" s="3" t="str">
        <f>CLEAN("CONST/RESURFACE")</f>
        <v>CONST/RESURFACE</v>
      </c>
      <c r="H2162" s="2" t="str">
        <f>CLEAN("STH 241")</f>
        <v>STH 241</v>
      </c>
      <c r="I2162" s="2" t="str">
        <f t="shared" si="338"/>
        <v>303</v>
      </c>
    </row>
    <row r="2163" spans="1:9" x14ac:dyDescent="0.35">
      <c r="A2163" s="2" t="str">
        <f t="shared" si="339"/>
        <v>MILWAUKEE</v>
      </c>
      <c r="B2163" s="2" t="str">
        <f t="shared" si="337"/>
        <v>MILWAUKEE WATER WORKS</v>
      </c>
      <c r="C2163" s="2" t="s">
        <v>999</v>
      </c>
      <c r="D2163" s="2" t="str">
        <f>CLEAN("2380-02-70")</f>
        <v>2380-02-70</v>
      </c>
      <c r="E2163" s="3" t="str">
        <f>CLEAN("JANESVILLE ROAD (STH 24)")</f>
        <v>JANESVILLE ROAD (STH 24)</v>
      </c>
      <c r="F2163" s="3" t="str">
        <f>CLEAN("WAUKESHA COUNTY LINE TO 108TH ST")</f>
        <v>WAUKESHA COUNTY LINE TO 108TH ST</v>
      </c>
      <c r="G2163" s="3" t="str">
        <f>CLEAN("CONST/RESURFACE")</f>
        <v>CONST/RESURFACE</v>
      </c>
      <c r="H2163" s="2" t="str">
        <f>CLEAN("STH 024")</f>
        <v>STH 024</v>
      </c>
      <c r="I2163" s="2" t="str">
        <f t="shared" si="338"/>
        <v>303</v>
      </c>
    </row>
    <row r="2164" spans="1:9" x14ac:dyDescent="0.35">
      <c r="A2164" s="2" t="str">
        <f t="shared" si="339"/>
        <v>MILWAUKEE</v>
      </c>
      <c r="B2164" s="2" t="str">
        <f t="shared" si="337"/>
        <v>MILWAUKEE WATER WORKS</v>
      </c>
      <c r="C2164" s="2" t="s">
        <v>1072</v>
      </c>
      <c r="D2164" s="2" t="str">
        <f>CLEAN("2410-47-70")</f>
        <v>2410-47-70</v>
      </c>
      <c r="E2164" s="3" t="str">
        <f>CLEAN("IH 94 EAST WEST  NATIONAL AVENUE")</f>
        <v>IH 94 EAST WEST  NATIONAL AVENUE</v>
      </c>
      <c r="F2164" s="3" t="str">
        <f>CLEAN("70TH STREET TO MILLER PARK WAY")</f>
        <v>70TH STREET TO MILLER PARK WAY</v>
      </c>
      <c r="G2164" s="3" t="str">
        <f>CLEAN("CONST/TRAFFIC MITIGATION")</f>
        <v>CONST/TRAFFIC MITIGATION</v>
      </c>
      <c r="H2164" s="2" t="str">
        <f>CLEAN("STH 059")</f>
        <v>STH 059</v>
      </c>
      <c r="I2164" s="2" t="str">
        <f>CLEAN("301EW")</f>
        <v>301EW</v>
      </c>
    </row>
    <row r="2165" spans="1:9" x14ac:dyDescent="0.35">
      <c r="A2165" s="2" t="str">
        <f t="shared" si="339"/>
        <v>MILWAUKEE</v>
      </c>
      <c r="B2165" s="2" t="str">
        <f t="shared" si="337"/>
        <v>MILWAUKEE WATER WORKS</v>
      </c>
      <c r="C2165" s="2" t="s">
        <v>385</v>
      </c>
      <c r="D2165" s="2" t="str">
        <f>CLEAN("2967-17-71")</f>
        <v>2967-17-71</v>
      </c>
      <c r="E2165" s="3" t="str">
        <f>CLEAN("C MILWAUKEE N 76TH ST")</f>
        <v>C MILWAUKEE N 76TH ST</v>
      </c>
      <c r="F2165" s="3" t="str">
        <f>CLEAN("BRIDGE OVER UPC RR B40-380/1")</f>
        <v>BRIDGE OVER UPC RR B40-380/1</v>
      </c>
      <c r="G2165" s="3" t="str">
        <f>CLEAN("CONST/BRIDGE REHAB")</f>
        <v>CONST/BRIDGE REHAB</v>
      </c>
      <c r="H2165" s="2" t="str">
        <f>CLEAN("STH 181")</f>
        <v>STH 181</v>
      </c>
      <c r="I2165" s="2" t="str">
        <f>CLEAN("303")</f>
        <v>303</v>
      </c>
    </row>
    <row r="2166" spans="1:9" x14ac:dyDescent="0.35">
      <c r="A2166" s="2" t="str">
        <f t="shared" ref="A2166:A2198" si="340">CLEAN("MONROE")</f>
        <v>MONROE</v>
      </c>
      <c r="B2166" s="2" t="str">
        <f t="shared" ref="B2166:B2198" si="341">CLEAN("MONROE COUNTY")</f>
        <v>MONROE COUNTY</v>
      </c>
      <c r="C2166" s="2" t="s">
        <v>2175</v>
      </c>
      <c r="D2166" s="2" t="str">
        <f>CLEAN("5005-00-01")</f>
        <v>5005-00-01</v>
      </c>
      <c r="E2166" s="3" t="str">
        <f>CLEAN("STH 21 - CTH B")</f>
        <v>STH 21 - CTH B</v>
      </c>
      <c r="F2166" s="3" t="str">
        <f>CLEAN("BR LA CROSSE RIVER BRIDGE P-41-0942")</f>
        <v>BR LA CROSSE RIVER BRIDGE P-41-0942</v>
      </c>
      <c r="G2166" s="3" t="str">
        <f>CLEAN("DESIGN/PLAN CHECK REVIEW/RECST")</f>
        <v>DESIGN/PLAN CHECK REVIEW/RECST</v>
      </c>
      <c r="H2166" s="2" t="str">
        <f>CLEAN("CTH Q")</f>
        <v>CTH Q</v>
      </c>
      <c r="I2166" s="2" t="str">
        <f>CLEAN("205")</f>
        <v>205</v>
      </c>
    </row>
    <row r="2167" spans="1:9" x14ac:dyDescent="0.35">
      <c r="A2167" s="2" t="str">
        <f t="shared" si="340"/>
        <v>MONROE</v>
      </c>
      <c r="B2167" s="2" t="str">
        <f t="shared" si="341"/>
        <v>MONROE COUNTY</v>
      </c>
      <c r="C2167" s="2" t="s">
        <v>2527</v>
      </c>
      <c r="D2167" s="2" t="str">
        <f>CLEAN("5016-00-01")</f>
        <v>5016-00-01</v>
      </c>
      <c r="E2167" s="3" t="str">
        <f>CLEAN("T CHRISTIANA - T PORTLAND (CTH PC)")</f>
        <v>T CHRISTIANA - T PORTLAND (CTH PC)</v>
      </c>
      <c r="F2167" s="3" t="str">
        <f>CLEAN("VERNON CO LINE TO STH 33")</f>
        <v>VERNON CO LINE TO STH 33</v>
      </c>
      <c r="G2167" s="3" t="str">
        <f>CLEAN("FULL PS&amp;E/RECONSTRUCTION")</f>
        <v>FULL PS&amp;E/RECONSTRUCTION</v>
      </c>
      <c r="H2167" s="2" t="str">
        <f>CLEAN("CTH PC")</f>
        <v>CTH PC</v>
      </c>
      <c r="I2167" s="2" t="str">
        <f>CLEAN("206")</f>
        <v>206</v>
      </c>
    </row>
    <row r="2168" spans="1:9" x14ac:dyDescent="0.35">
      <c r="A2168" s="2" t="str">
        <f t="shared" si="340"/>
        <v>MONROE</v>
      </c>
      <c r="B2168" s="2" t="str">
        <f t="shared" si="341"/>
        <v>MONROE COUNTY</v>
      </c>
      <c r="C2168" s="2" t="s">
        <v>266</v>
      </c>
      <c r="D2168" s="2" t="str">
        <f>CLEAN("5016-00-71")</f>
        <v>5016-00-71</v>
      </c>
      <c r="E2168" s="3" t="str">
        <f>CLEAN("T CHRISTIANA - T PORTLAND (CTH PC)")</f>
        <v>T CHRISTIANA - T PORTLAND (CTH PC)</v>
      </c>
      <c r="F2168" s="3" t="str">
        <f>CLEAN("VERNON CO LINE TO STH 33")</f>
        <v>VERNON CO LINE TO STH 33</v>
      </c>
      <c r="G2168" s="3" t="str">
        <f>CLEAN("CONST OPS/RECONSTRUCTION")</f>
        <v>CONST OPS/RECONSTRUCTION</v>
      </c>
      <c r="H2168" s="2" t="str">
        <f>CLEAN("CTH PC")</f>
        <v>CTH PC</v>
      </c>
      <c r="I2168" s="2" t="str">
        <f>CLEAN("206")</f>
        <v>206</v>
      </c>
    </row>
    <row r="2169" spans="1:9" x14ac:dyDescent="0.35">
      <c r="A2169" s="2" t="str">
        <f t="shared" si="340"/>
        <v>MONROE</v>
      </c>
      <c r="B2169" s="2" t="str">
        <f t="shared" si="341"/>
        <v>MONROE COUNTY</v>
      </c>
      <c r="C2169" s="2" t="s">
        <v>2089</v>
      </c>
      <c r="D2169" s="2" t="str">
        <f>CLEAN("5017-00-00")</f>
        <v>5017-00-00</v>
      </c>
      <c r="E2169" s="3" t="str">
        <f>CLEAN("V OF NORWALK - T OF RIDGEVILLE")</f>
        <v>V OF NORWALK - T OF RIDGEVILLE</v>
      </c>
      <c r="F2169" s="3" t="str">
        <f>CLEAN("MORRIS CREEK BRIDGE P-41-0703")</f>
        <v>MORRIS CREEK BRIDGE P-41-0703</v>
      </c>
      <c r="G2169" s="3" t="str">
        <f>CLEAN("DESIGN/PLAN CHECK REVIEW/BR REPLACE")</f>
        <v>DESIGN/PLAN CHECK REVIEW/BR REPLACE</v>
      </c>
      <c r="H2169" s="2" t="str">
        <f>CLEAN("CTH U")</f>
        <v>CTH U</v>
      </c>
      <c r="I2169" s="2" t="str">
        <f t="shared" ref="I2169:I2183" si="342">CLEAN("205")</f>
        <v>205</v>
      </c>
    </row>
    <row r="2170" spans="1:9" x14ac:dyDescent="0.35">
      <c r="A2170" s="2" t="str">
        <f t="shared" si="340"/>
        <v>MONROE</v>
      </c>
      <c r="B2170" s="2" t="str">
        <f t="shared" si="341"/>
        <v>MONROE COUNTY</v>
      </c>
      <c r="C2170" s="2" t="s">
        <v>456</v>
      </c>
      <c r="D2170" s="2" t="str">
        <f>CLEAN("5017-00-70")</f>
        <v>5017-00-70</v>
      </c>
      <c r="E2170" s="3" t="str">
        <f>CLEAN("V OF NORWALK - T OF RIDGEVILLE")</f>
        <v>V OF NORWALK - T OF RIDGEVILLE</v>
      </c>
      <c r="F2170" s="3" t="str">
        <f>CLEAN("MOORE CREEK BRIDGE B-41-0319")</f>
        <v>MOORE CREEK BRIDGE B-41-0319</v>
      </c>
      <c r="G2170" s="3" t="str">
        <f>CLEAN("CONST/BRIDGE REPLACEMENT")</f>
        <v>CONST/BRIDGE REPLACEMENT</v>
      </c>
      <c r="H2170" s="2" t="str">
        <f>CLEAN("CTH U")</f>
        <v>CTH U</v>
      </c>
      <c r="I2170" s="2" t="str">
        <f t="shared" si="342"/>
        <v>205</v>
      </c>
    </row>
    <row r="2171" spans="1:9" x14ac:dyDescent="0.35">
      <c r="A2171" s="2" t="str">
        <f t="shared" si="340"/>
        <v>MONROE</v>
      </c>
      <c r="B2171" s="2" t="str">
        <f t="shared" si="341"/>
        <v>MONROE COUNTY</v>
      </c>
      <c r="C2171" s="2" t="s">
        <v>1784</v>
      </c>
      <c r="D2171" s="2" t="str">
        <f>CLEAN("5116-00-01")</f>
        <v>5116-00-01</v>
      </c>
      <c r="E2171" s="3" t="str">
        <f>CLEAN("CTH N - T CLIFTON")</f>
        <v>CTH N - T CLIFTON</v>
      </c>
      <c r="F2171" s="3" t="str">
        <f>CLEAN("INDIAN CREEK BRIDGE B-41-0923")</f>
        <v>INDIAN CREEK BRIDGE B-41-0923</v>
      </c>
      <c r="G2171" s="3" t="str">
        <f>CLEAN("DESIGN/BRIDGE REPLACEMENT")</f>
        <v>DESIGN/BRIDGE REPLACEMENT</v>
      </c>
      <c r="H2171" s="2" t="str">
        <f>CLEAN("CTH A")</f>
        <v>CTH A</v>
      </c>
      <c r="I2171" s="2" t="str">
        <f t="shared" si="342"/>
        <v>205</v>
      </c>
    </row>
    <row r="2172" spans="1:9" x14ac:dyDescent="0.35">
      <c r="A2172" s="2" t="str">
        <f t="shared" si="340"/>
        <v>MONROE</v>
      </c>
      <c r="B2172" s="2" t="str">
        <f t="shared" si="341"/>
        <v>MONROE COUNTY</v>
      </c>
      <c r="C2172" s="2" t="s">
        <v>442</v>
      </c>
      <c r="D2172" s="2" t="str">
        <f>CLEAN("5116-00-71")</f>
        <v>5116-00-71</v>
      </c>
      <c r="E2172" s="3" t="str">
        <f>CLEAN("CTH N - T CLIFTON")</f>
        <v>CTH N - T CLIFTON</v>
      </c>
      <c r="F2172" s="3" t="str">
        <f>CLEAN("INDIAN CREEK BRIDGE B-41-0335")</f>
        <v>INDIAN CREEK BRIDGE B-41-0335</v>
      </c>
      <c r="G2172" s="3" t="str">
        <f>CLEAN("CONST/BRIDGE REPLACEMENT")</f>
        <v>CONST/BRIDGE REPLACEMENT</v>
      </c>
      <c r="H2172" s="2" t="str">
        <f>CLEAN("CTH A")</f>
        <v>CTH A</v>
      </c>
      <c r="I2172" s="2" t="str">
        <f t="shared" si="342"/>
        <v>205</v>
      </c>
    </row>
    <row r="2173" spans="1:9" x14ac:dyDescent="0.35">
      <c r="A2173" s="2" t="str">
        <f t="shared" si="340"/>
        <v>MONROE</v>
      </c>
      <c r="B2173" s="2" t="str">
        <f t="shared" si="341"/>
        <v>MONROE COUNTY</v>
      </c>
      <c r="C2173" s="2" t="s">
        <v>2176</v>
      </c>
      <c r="D2173" s="2" t="str">
        <f>CLEAN("5126-00-02")</f>
        <v>5126-00-02</v>
      </c>
      <c r="E2173" s="3" t="str">
        <f>CLEAN("CTH W - CTH A")</f>
        <v>CTH W - CTH A</v>
      </c>
      <c r="F2173" s="3" t="str">
        <f>CLEAN("BR LITTLE LEMONWIER RV BR P-41-0121")</f>
        <v>BR LITTLE LEMONWIER RV BR P-41-0121</v>
      </c>
      <c r="G2173" s="3" t="str">
        <f>CLEAN("DESIGN/PLAN CHECK REVIEW/RECST")</f>
        <v>DESIGN/PLAN CHECK REVIEW/RECST</v>
      </c>
      <c r="H2173" s="2" t="str">
        <f>CLEAN("CTH N")</f>
        <v>CTH N</v>
      </c>
      <c r="I2173" s="2" t="str">
        <f t="shared" si="342"/>
        <v>205</v>
      </c>
    </row>
    <row r="2174" spans="1:9" x14ac:dyDescent="0.35">
      <c r="A2174" s="2" t="str">
        <f t="shared" si="340"/>
        <v>MONROE</v>
      </c>
      <c r="B2174" s="2" t="str">
        <f t="shared" si="341"/>
        <v>MONROE COUNTY</v>
      </c>
      <c r="C2174" s="2" t="s">
        <v>2201</v>
      </c>
      <c r="D2174" s="2" t="str">
        <f>CLEAN("5126-00-03")</f>
        <v>5126-00-03</v>
      </c>
      <c r="E2174" s="3" t="str">
        <f>CLEAN("CTH W - CTH A")</f>
        <v>CTH W - CTH A</v>
      </c>
      <c r="F2174" s="3" t="str">
        <f>CLEAN("LITTLE LEMONWEIR RV BRDG P-41-0123")</f>
        <v>LITTLE LEMONWEIR RV BRDG P-41-0123</v>
      </c>
      <c r="G2174" s="3" t="str">
        <f>CLEAN("DESIGN/PLAN CHECK REVIEW/RECST")</f>
        <v>DESIGN/PLAN CHECK REVIEW/RECST</v>
      </c>
      <c r="H2174" s="2" t="str">
        <f>CLEAN("CTH N")</f>
        <v>CTH N</v>
      </c>
      <c r="I2174" s="2" t="str">
        <f t="shared" si="342"/>
        <v>205</v>
      </c>
    </row>
    <row r="2175" spans="1:9" x14ac:dyDescent="0.35">
      <c r="A2175" s="2" t="str">
        <f t="shared" si="340"/>
        <v>MONROE</v>
      </c>
      <c r="B2175" s="2" t="str">
        <f t="shared" si="341"/>
        <v>MONROE COUNTY</v>
      </c>
      <c r="C2175" s="2" t="s">
        <v>2105</v>
      </c>
      <c r="D2175" s="2" t="str">
        <f>CLEAN("5126-00-04")</f>
        <v>5126-00-04</v>
      </c>
      <c r="E2175" s="3" t="str">
        <f>CLEAN("CTH W - CTH A (CTH N)")</f>
        <v>CTH W - CTH A (CTH N)</v>
      </c>
      <c r="F2175" s="3" t="str">
        <f>CLEAN("LITTLE LEMONWEIR RV BR P-41-0122")</f>
        <v>LITTLE LEMONWEIR RV BR P-41-0122</v>
      </c>
      <c r="G2175" s="3" t="str">
        <f>CLEAN("DESIGN/PLAN CHECK REVIEW/BRRPL")</f>
        <v>DESIGN/PLAN CHECK REVIEW/BRRPL</v>
      </c>
      <c r="H2175" s="2" t="str">
        <f>CLEAN("CTH N")</f>
        <v>CTH N</v>
      </c>
      <c r="I2175" s="2" t="str">
        <f t="shared" si="342"/>
        <v>205</v>
      </c>
    </row>
    <row r="2176" spans="1:9" x14ac:dyDescent="0.35">
      <c r="A2176" s="2" t="str">
        <f t="shared" si="340"/>
        <v>MONROE</v>
      </c>
      <c r="B2176" s="2" t="str">
        <f t="shared" si="341"/>
        <v>MONROE COUNTY</v>
      </c>
      <c r="C2176" s="2" t="s">
        <v>109</v>
      </c>
      <c r="D2176" s="2" t="str">
        <f>CLEAN("5126-00-74")</f>
        <v>5126-00-74</v>
      </c>
      <c r="E2176" s="3" t="str">
        <f>CLEAN("CTH W - CTH A (CTH N)")</f>
        <v>CTH W - CTH A (CTH N)</v>
      </c>
      <c r="F2176" s="3" t="str">
        <f>CLEAN("LITTLE LEMONWEIR BRIDGE B-41-0331")</f>
        <v>LITTLE LEMONWEIR BRIDGE B-41-0331</v>
      </c>
      <c r="G2176" s="3" t="str">
        <f>CLEAN("CONST OPS/BRIDGE REPLACEMENT")</f>
        <v>CONST OPS/BRIDGE REPLACEMENT</v>
      </c>
      <c r="H2176" s="2" t="str">
        <f>CLEAN("CTH N")</f>
        <v>CTH N</v>
      </c>
      <c r="I2176" s="2" t="str">
        <f t="shared" si="342"/>
        <v>205</v>
      </c>
    </row>
    <row r="2177" spans="1:9" x14ac:dyDescent="0.35">
      <c r="A2177" s="2" t="str">
        <f t="shared" si="340"/>
        <v>MONROE</v>
      </c>
      <c r="B2177" s="2" t="str">
        <f t="shared" si="341"/>
        <v>MONROE COUNTY</v>
      </c>
      <c r="C2177" s="2" t="s">
        <v>1800</v>
      </c>
      <c r="D2177" s="2" t="str">
        <f>CLEAN("5127-00-03")</f>
        <v>5127-00-03</v>
      </c>
      <c r="E2177" s="3" t="str">
        <f>CLEAN("CTH F - STH 71")</f>
        <v>CTH F - STH 71</v>
      </c>
      <c r="F2177" s="3" t="str">
        <f>CLEAN("MORRIS CREEK BRIDGE P-41-0128")</f>
        <v>MORRIS CREEK BRIDGE P-41-0128</v>
      </c>
      <c r="G2177" s="3" t="str">
        <f>CLEAN("DESIGN/BRIDGE REPLACEMENT")</f>
        <v>DESIGN/BRIDGE REPLACEMENT</v>
      </c>
      <c r="H2177" s="2" t="str">
        <f>CLEAN("CTH T")</f>
        <v>CTH T</v>
      </c>
      <c r="I2177" s="2" t="str">
        <f t="shared" si="342"/>
        <v>205</v>
      </c>
    </row>
    <row r="2178" spans="1:9" x14ac:dyDescent="0.35">
      <c r="A2178" s="2" t="str">
        <f t="shared" si="340"/>
        <v>MONROE</v>
      </c>
      <c r="B2178" s="2" t="str">
        <f t="shared" si="341"/>
        <v>MONROE COUNTY</v>
      </c>
      <c r="C2178" s="2" t="s">
        <v>1801</v>
      </c>
      <c r="D2178" s="2" t="str">
        <f>CLEAN("5127-00-04")</f>
        <v>5127-00-04</v>
      </c>
      <c r="E2178" s="3" t="str">
        <f>CLEAN("STH 71 - CTH A")</f>
        <v>STH 71 - CTH A</v>
      </c>
      <c r="F2178" s="3" t="str">
        <f>CLEAN("MORRIS CREEK BRIDGE P-41-0130")</f>
        <v>MORRIS CREEK BRIDGE P-41-0130</v>
      </c>
      <c r="G2178" s="3" t="str">
        <f>CLEAN("DESIGN/BRIDGE REPLACEMENT")</f>
        <v>DESIGN/BRIDGE REPLACEMENT</v>
      </c>
      <c r="H2178" s="2" t="str">
        <f>CLEAN("CTH T")</f>
        <v>CTH T</v>
      </c>
      <c r="I2178" s="2" t="str">
        <f t="shared" si="342"/>
        <v>205</v>
      </c>
    </row>
    <row r="2179" spans="1:9" x14ac:dyDescent="0.35">
      <c r="A2179" s="2" t="str">
        <f t="shared" si="340"/>
        <v>MONROE</v>
      </c>
      <c r="B2179" s="2" t="str">
        <f t="shared" si="341"/>
        <v>MONROE COUNTY</v>
      </c>
      <c r="C2179" s="2" t="s">
        <v>2057</v>
      </c>
      <c r="D2179" s="2" t="str">
        <f>CLEAN("5165-00-00")</f>
        <v>5165-00-00</v>
      </c>
      <c r="E2179" s="3" t="str">
        <f>CLEAN("STH 131 - CTH P")</f>
        <v>STH 131 - CTH P</v>
      </c>
      <c r="F2179" s="3" t="str">
        <f>CLEAN("POE CREEK BRIDGE B-41-0296")</f>
        <v>POE CREEK BRIDGE B-41-0296</v>
      </c>
      <c r="G2179" s="3" t="str">
        <f>CLEAN("DESIGN/PLAN CHECK REVIEW")</f>
        <v>DESIGN/PLAN CHECK REVIEW</v>
      </c>
      <c r="H2179" s="2" t="str">
        <f>CLEAN("CTH Z")</f>
        <v>CTH Z</v>
      </c>
      <c r="I2179" s="2" t="str">
        <f t="shared" si="342"/>
        <v>205</v>
      </c>
    </row>
    <row r="2180" spans="1:9" x14ac:dyDescent="0.35">
      <c r="A2180" s="2" t="str">
        <f t="shared" si="340"/>
        <v>MONROE</v>
      </c>
      <c r="B2180" s="2" t="str">
        <f t="shared" si="341"/>
        <v>MONROE COUNTY</v>
      </c>
      <c r="C2180" s="2" t="s">
        <v>2109</v>
      </c>
      <c r="D2180" s="2" t="str">
        <f>CLEAN("5165-00-02")</f>
        <v>5165-00-02</v>
      </c>
      <c r="E2180" s="3" t="str">
        <f>CLEAN("CTH P - STH 131 (CTH Z)")</f>
        <v>CTH P - STH 131 (CTH Z)</v>
      </c>
      <c r="F2180" s="3" t="str">
        <f>CLEAN("POE CREEK BRIDGE B-41-0296")</f>
        <v>POE CREEK BRIDGE B-41-0296</v>
      </c>
      <c r="G2180" s="3" t="str">
        <f>CLEAN("DESIGN/PLAN CHECK REVIEW/BRRPL")</f>
        <v>DESIGN/PLAN CHECK REVIEW/BRRPL</v>
      </c>
      <c r="H2180" s="2" t="str">
        <f>CLEAN("CTH Z")</f>
        <v>CTH Z</v>
      </c>
      <c r="I2180" s="2" t="str">
        <f t="shared" si="342"/>
        <v>205</v>
      </c>
    </row>
    <row r="2181" spans="1:9" x14ac:dyDescent="0.35">
      <c r="A2181" s="2" t="str">
        <f t="shared" si="340"/>
        <v>MONROE</v>
      </c>
      <c r="B2181" s="2" t="str">
        <f t="shared" si="341"/>
        <v>MONROE COUNTY</v>
      </c>
      <c r="C2181" s="2" t="s">
        <v>2098</v>
      </c>
      <c r="D2181" s="2" t="str">
        <f>CLEAN("5165-00-03")</f>
        <v>5165-00-03</v>
      </c>
      <c r="E2181" s="3" t="str">
        <f>CLEAN("T FOREST - T WELLINGTON (CTH Z)")</f>
        <v>T FOREST - T WELLINGTON (CTH Z)</v>
      </c>
      <c r="F2181" s="3" t="str">
        <f>CLEAN("BILLINGS CREEK BRIDGE P-41-0134")</f>
        <v>BILLINGS CREEK BRIDGE P-41-0134</v>
      </c>
      <c r="G2181" s="3" t="str">
        <f>CLEAN("DESIGN/PLAN CHECK REVIEW/BRRPL")</f>
        <v>DESIGN/PLAN CHECK REVIEW/BRRPL</v>
      </c>
      <c r="H2181" s="2" t="str">
        <f>CLEAN("CTH Z")</f>
        <v>CTH Z</v>
      </c>
      <c r="I2181" s="2" t="str">
        <f t="shared" si="342"/>
        <v>205</v>
      </c>
    </row>
    <row r="2182" spans="1:9" x14ac:dyDescent="0.35">
      <c r="A2182" s="2" t="str">
        <f t="shared" si="340"/>
        <v>MONROE</v>
      </c>
      <c r="B2182" s="2" t="str">
        <f t="shared" si="341"/>
        <v>MONROE COUNTY</v>
      </c>
      <c r="C2182" s="2" t="s">
        <v>124</v>
      </c>
      <c r="D2182" s="2" t="str">
        <f>CLEAN("5165-00-72")</f>
        <v>5165-00-72</v>
      </c>
      <c r="E2182" s="3" t="str">
        <f>CLEAN("CTH P - STH 131 (CTH Z)")</f>
        <v>CTH P - STH 131 (CTH Z)</v>
      </c>
      <c r="F2182" s="3" t="str">
        <f>CLEAN("POE CREEK BRIDGE B-41-0330")</f>
        <v>POE CREEK BRIDGE B-41-0330</v>
      </c>
      <c r="G2182" s="3" t="str">
        <f>CLEAN("CONST OPS/BRIDGE REPLACEMENT")</f>
        <v>CONST OPS/BRIDGE REPLACEMENT</v>
      </c>
      <c r="H2182" s="2" t="str">
        <f>CLEAN("CTH Z")</f>
        <v>CTH Z</v>
      </c>
      <c r="I2182" s="2" t="str">
        <f t="shared" si="342"/>
        <v>205</v>
      </c>
    </row>
    <row r="2183" spans="1:9" x14ac:dyDescent="0.35">
      <c r="A2183" s="2" t="str">
        <f t="shared" si="340"/>
        <v>MONROE</v>
      </c>
      <c r="B2183" s="2" t="str">
        <f t="shared" si="341"/>
        <v>MONROE COUNTY</v>
      </c>
      <c r="C2183" s="2" t="s">
        <v>63</v>
      </c>
      <c r="D2183" s="2" t="str">
        <f>CLEAN("5165-00-73")</f>
        <v>5165-00-73</v>
      </c>
      <c r="E2183" s="3" t="str">
        <f>CLEAN("T FOREST - T WELLINGTON (CTH Z)")</f>
        <v>T FOREST - T WELLINGTON (CTH Z)</v>
      </c>
      <c r="F2183" s="3" t="str">
        <f>CLEAN("BILLINGS CREEK BRIDGE B-41-0332")</f>
        <v>BILLINGS CREEK BRIDGE B-41-0332</v>
      </c>
      <c r="G2183" s="3" t="str">
        <f>CLEAN("CONST OPS/BRIDGE REPLACEMENT")</f>
        <v>CONST OPS/BRIDGE REPLACEMENT</v>
      </c>
      <c r="H2183" s="2" t="str">
        <f>CLEAN("CTH Z")</f>
        <v>CTH Z</v>
      </c>
      <c r="I2183" s="2" t="str">
        <f t="shared" si="342"/>
        <v>205</v>
      </c>
    </row>
    <row r="2184" spans="1:9" x14ac:dyDescent="0.35">
      <c r="A2184" s="2" t="str">
        <f t="shared" si="340"/>
        <v>MONROE</v>
      </c>
      <c r="B2184" s="2" t="str">
        <f t="shared" si="341"/>
        <v>MONROE COUNTY</v>
      </c>
      <c r="C2184" s="2" t="s">
        <v>2159</v>
      </c>
      <c r="D2184" s="2" t="str">
        <f>CLEAN("5515-00-01")</f>
        <v>5515-00-01</v>
      </c>
      <c r="E2184" s="3" t="str">
        <f>CLEAN("ONTARIO - WELLINGTON (CTH P)")</f>
        <v>ONTARIO - WELLINGTON (CTH P)</v>
      </c>
      <c r="F2184" s="3" t="str">
        <f>CLEAN("VERNON COUNTY LINE TO CTH Z")</f>
        <v>VERNON COUNTY LINE TO CTH Z</v>
      </c>
      <c r="G2184" s="3" t="str">
        <f>CLEAN("DESIGN/PLAN CHECK REVIEW/PVRPLA")</f>
        <v>DESIGN/PLAN CHECK REVIEW/PVRPLA</v>
      </c>
      <c r="H2184" s="2" t="str">
        <f>CLEAN("CTH P")</f>
        <v>CTH P</v>
      </c>
      <c r="I2184" s="2" t="str">
        <f>CLEAN("206")</f>
        <v>206</v>
      </c>
    </row>
    <row r="2185" spans="1:9" x14ac:dyDescent="0.35">
      <c r="A2185" s="2" t="str">
        <f t="shared" si="340"/>
        <v>MONROE</v>
      </c>
      <c r="B2185" s="2" t="str">
        <f t="shared" si="341"/>
        <v>MONROE COUNTY</v>
      </c>
      <c r="C2185" s="2" t="s">
        <v>202</v>
      </c>
      <c r="D2185" s="2" t="str">
        <f>CLEAN("5515-00-71")</f>
        <v>5515-00-71</v>
      </c>
      <c r="E2185" s="3" t="str">
        <f>CLEAN("ONTARIO - WELLINGTON (CTH P)")</f>
        <v>ONTARIO - WELLINGTON (CTH P)</v>
      </c>
      <c r="F2185" s="3" t="str">
        <f>CLEAN("VERNON COUNTY LINE TO CTH Z")</f>
        <v>VERNON COUNTY LINE TO CTH Z</v>
      </c>
      <c r="G2185" s="3" t="str">
        <f>CLEAN("CONST OPS/PAVEMENT REPLACEMENT")</f>
        <v>CONST OPS/PAVEMENT REPLACEMENT</v>
      </c>
      <c r="H2185" s="2" t="str">
        <f>CLEAN("CTH P")</f>
        <v>CTH P</v>
      </c>
      <c r="I2185" s="2" t="str">
        <f>CLEAN("206")</f>
        <v>206</v>
      </c>
    </row>
    <row r="2186" spans="1:9" x14ac:dyDescent="0.35">
      <c r="A2186" s="2" t="str">
        <f t="shared" si="340"/>
        <v>MONROE</v>
      </c>
      <c r="B2186" s="2" t="str">
        <f t="shared" si="341"/>
        <v>MONROE COUNTY</v>
      </c>
      <c r="C2186" s="2" t="s">
        <v>2053</v>
      </c>
      <c r="D2186" s="2" t="str">
        <f>CLEAN("5516-00-00")</f>
        <v>5516-00-00</v>
      </c>
      <c r="E2186" s="3" t="str">
        <f>CLEAN("V KENDALL  WHITE STREET")</f>
        <v>V KENDALL  WHITE STREET</v>
      </c>
      <c r="F2186" s="3" t="str">
        <f>CLEAN("BR BARABOO RIVER BRIDGE P-41-0700")</f>
        <v>BR BARABOO RIVER BRIDGE P-41-0700</v>
      </c>
      <c r="G2186" s="3" t="str">
        <f>CLEAN("DESIGN/PLAN CHECK REVIEW")</f>
        <v>DESIGN/PLAN CHECK REVIEW</v>
      </c>
      <c r="H2186" s="2" t="str">
        <f>CLEAN("CTH W")</f>
        <v>CTH W</v>
      </c>
      <c r="I2186" s="2" t="str">
        <f>CLEAN("205")</f>
        <v>205</v>
      </c>
    </row>
    <row r="2187" spans="1:9" x14ac:dyDescent="0.35">
      <c r="A2187" s="2" t="str">
        <f t="shared" si="340"/>
        <v>MONROE</v>
      </c>
      <c r="B2187" s="2" t="str">
        <f t="shared" si="341"/>
        <v>MONROE COUNTY</v>
      </c>
      <c r="C2187" s="2" t="s">
        <v>2202</v>
      </c>
      <c r="D2187" s="2" t="str">
        <f>CLEAN("7102-00-00")</f>
        <v>7102-00-00</v>
      </c>
      <c r="E2187" s="3" t="str">
        <f>CLEAN("T LA GRANGE  DOLPHIN ROAD")</f>
        <v>T LA GRANGE  DOLPHIN ROAD</v>
      </c>
      <c r="F2187" s="3" t="str">
        <f>CLEAN("MILL CREEK BRIDGE P-41-0161")</f>
        <v>MILL CREEK BRIDGE P-41-0161</v>
      </c>
      <c r="G2187" s="3" t="str">
        <f>CLEAN("DESIGN/PLAN CHECK REVIEW/RECST")</f>
        <v>DESIGN/PLAN CHECK REVIEW/RECST</v>
      </c>
      <c r="H2187" s="2" t="str">
        <f>CLEAN("LOC STR")</f>
        <v>LOC STR</v>
      </c>
      <c r="I2187" s="2" t="str">
        <f>CLEAN("205")</f>
        <v>205</v>
      </c>
    </row>
    <row r="2188" spans="1:9" x14ac:dyDescent="0.35">
      <c r="A2188" s="2" t="str">
        <f t="shared" si="340"/>
        <v>MONROE</v>
      </c>
      <c r="B2188" s="2" t="str">
        <f t="shared" si="341"/>
        <v>MONROE COUNTY</v>
      </c>
      <c r="C2188" s="2" t="s">
        <v>114</v>
      </c>
      <c r="D2188" s="2" t="str">
        <f>CLEAN("7102-00-70")</f>
        <v>7102-00-70</v>
      </c>
      <c r="E2188" s="3" t="str">
        <f>CLEAN("T LA GRANGE  DOLPHIN ROAD")</f>
        <v>T LA GRANGE  DOLPHIN ROAD</v>
      </c>
      <c r="F2188" s="3" t="str">
        <f>CLEAN("MILL CREEK BRIDGE B-41-0312")</f>
        <v>MILL CREEK BRIDGE B-41-0312</v>
      </c>
      <c r="G2188" s="3" t="str">
        <f>CLEAN("CONST OPS/BRIDGE REPLACEMENT")</f>
        <v>CONST OPS/BRIDGE REPLACEMENT</v>
      </c>
      <c r="H2188" s="2" t="str">
        <f>CLEAN("LOC STR")</f>
        <v>LOC STR</v>
      </c>
      <c r="I2188" s="2" t="str">
        <f>CLEAN("205")</f>
        <v>205</v>
      </c>
    </row>
    <row r="2189" spans="1:9" x14ac:dyDescent="0.35">
      <c r="A2189" s="2" t="str">
        <f t="shared" si="340"/>
        <v>MONROE</v>
      </c>
      <c r="B2189" s="2" t="str">
        <f t="shared" si="341"/>
        <v>MONROE COUNTY</v>
      </c>
      <c r="C2189" s="2" t="s">
        <v>2085</v>
      </c>
      <c r="D2189" s="2" t="str">
        <f>CLEAN("7117-00-02")</f>
        <v>7117-00-02</v>
      </c>
      <c r="E2189" s="3" t="str">
        <f>CLEAN("VILLAGE OAKDALE - STH 21")</f>
        <v>VILLAGE OAKDALE - STH 21</v>
      </c>
      <c r="F2189" s="3" t="str">
        <f>CLEAN("E FORK LEMONWEIR RV BR P-41-0937")</f>
        <v>E FORK LEMONWEIR RV BR P-41-0937</v>
      </c>
      <c r="G2189" s="3" t="str">
        <f>CLEAN("DESIGN/PLAN CHECK REVIEW/BR REPLACE")</f>
        <v>DESIGN/PLAN CHECK REVIEW/BR REPLACE</v>
      </c>
      <c r="H2189" s="2" t="str">
        <f>CLEAN("CTH PP")</f>
        <v>CTH PP</v>
      </c>
      <c r="I2189" s="2" t="str">
        <f>CLEAN("205")</f>
        <v>205</v>
      </c>
    </row>
    <row r="2190" spans="1:9" x14ac:dyDescent="0.35">
      <c r="A2190" s="2" t="str">
        <f t="shared" si="340"/>
        <v>MONROE</v>
      </c>
      <c r="B2190" s="2" t="str">
        <f t="shared" si="341"/>
        <v>MONROE COUNTY</v>
      </c>
      <c r="C2190" s="2" t="s">
        <v>1052</v>
      </c>
      <c r="D2190" s="2" t="str">
        <f>CLEAN("7117-00-60")</f>
        <v>7117-00-60</v>
      </c>
      <c r="E2190" s="3" t="str">
        <f>CLEAN("OAKDALE - WYEVILLE")</f>
        <v>OAKDALE - WYEVILLE</v>
      </c>
      <c r="F2190" s="3" t="str">
        <f>CLEAN("NORTH VILLAGE LIMIT TO STH 21")</f>
        <v>NORTH VILLAGE LIMIT TO STH 21</v>
      </c>
      <c r="G2190" s="3" t="str">
        <f>CLEAN("CONST/SIGNING/MARKING/CZ IMPRVMNTS")</f>
        <v>CONST/SIGNING/MARKING/CZ IMPRVMNTS</v>
      </c>
      <c r="H2190" s="2" t="str">
        <f>CLEAN("CTH PP")</f>
        <v>CTH PP</v>
      </c>
      <c r="I2190" s="2" t="str">
        <f>CLEAN("206")</f>
        <v>206</v>
      </c>
    </row>
    <row r="2191" spans="1:9" x14ac:dyDescent="0.35">
      <c r="A2191" s="2" t="str">
        <f t="shared" si="340"/>
        <v>MONROE</v>
      </c>
      <c r="B2191" s="2" t="str">
        <f t="shared" si="341"/>
        <v>MONROE COUNTY</v>
      </c>
      <c r="C2191" s="2" t="s">
        <v>231</v>
      </c>
      <c r="D2191" s="2" t="str">
        <f>CLEAN("7117-00-71")</f>
        <v>7117-00-71</v>
      </c>
      <c r="E2191" s="3" t="str">
        <f>CLEAN("VILLAGE OF OAKDALE  CTH PP")</f>
        <v>VILLAGE OF OAKDALE  CTH PP</v>
      </c>
      <c r="F2191" s="3" t="str">
        <f>CLEAN("IH 90/94 TO US 12/16")</f>
        <v>IH 90/94 TO US 12/16</v>
      </c>
      <c r="G2191" s="3" t="str">
        <f>CLEAN("CONST OPS/RECONSTRUCT")</f>
        <v>CONST OPS/RECONSTRUCT</v>
      </c>
      <c r="H2191" s="2" t="str">
        <f>CLEAN("CTH PP")</f>
        <v>CTH PP</v>
      </c>
      <c r="I2191" s="2" t="str">
        <f>CLEAN("206")</f>
        <v>206</v>
      </c>
    </row>
    <row r="2192" spans="1:9" x14ac:dyDescent="0.35">
      <c r="A2192" s="2" t="str">
        <f t="shared" si="340"/>
        <v>MONROE</v>
      </c>
      <c r="B2192" s="2" t="str">
        <f t="shared" si="341"/>
        <v>MONROE COUNTY</v>
      </c>
      <c r="C2192" s="2" t="s">
        <v>435</v>
      </c>
      <c r="D2192" s="2" t="str">
        <f>CLEAN("7117-00-72")</f>
        <v>7117-00-72</v>
      </c>
      <c r="E2192" s="3" t="str">
        <f>CLEAN("VILLAGE OAKDALE - STH 21")</f>
        <v>VILLAGE OAKDALE - STH 21</v>
      </c>
      <c r="F2192" s="3" t="str">
        <f>CLEAN("E FORK LEMONWEIR RV BR B-41-0320")</f>
        <v>E FORK LEMONWEIR RV BR B-41-0320</v>
      </c>
      <c r="G2192" s="3" t="str">
        <f>CLEAN("CONST/BRIDGE REPLACEMENT")</f>
        <v>CONST/BRIDGE REPLACEMENT</v>
      </c>
      <c r="H2192" s="2" t="str">
        <f>CLEAN("CTH PP")</f>
        <v>CTH PP</v>
      </c>
      <c r="I2192" s="2" t="str">
        <f>CLEAN("205")</f>
        <v>205</v>
      </c>
    </row>
    <row r="2193" spans="1:9" x14ac:dyDescent="0.35">
      <c r="A2193" s="2" t="str">
        <f t="shared" si="340"/>
        <v>MONROE</v>
      </c>
      <c r="B2193" s="2" t="str">
        <f t="shared" si="341"/>
        <v>MONROE COUNTY</v>
      </c>
      <c r="C2193" s="2" t="s">
        <v>2247</v>
      </c>
      <c r="D2193" s="2" t="str">
        <f>CLEAN("7373-00-00")</f>
        <v>7373-00-00</v>
      </c>
      <c r="E2193" s="3" t="str">
        <f>CLEAN("T ADRIAN - T GREENFIELD")</f>
        <v>T ADRIAN - T GREENFIELD</v>
      </c>
      <c r="F2193" s="3" t="str">
        <f>CLEAN("C OF TOMAH TO STH 21")</f>
        <v>C OF TOMAH TO STH 21</v>
      </c>
      <c r="G2193" s="3" t="str">
        <f>CLEAN("DESIGN/RECONSTRUCT")</f>
        <v>DESIGN/RECONSTRUCT</v>
      </c>
      <c r="H2193" s="2" t="str">
        <f>CLEAN("CTH ET")</f>
        <v>CTH ET</v>
      </c>
      <c r="I2193" s="2" t="str">
        <f>CLEAN("206")</f>
        <v>206</v>
      </c>
    </row>
    <row r="2194" spans="1:9" x14ac:dyDescent="0.35">
      <c r="A2194" s="2" t="str">
        <f t="shared" si="340"/>
        <v>MONROE</v>
      </c>
      <c r="B2194" s="2" t="str">
        <f t="shared" si="341"/>
        <v>MONROE COUNTY</v>
      </c>
      <c r="C2194" s="2" t="s">
        <v>2192</v>
      </c>
      <c r="D2194" s="2" t="str">
        <f>CLEAN("7373-00-04")</f>
        <v>7373-00-04</v>
      </c>
      <c r="E2194" s="3" t="str">
        <f>CLEAN("T LA GRANGE - T BYRON (CTH ET)")</f>
        <v>T LA GRANGE - T BYRON (CTH ET)</v>
      </c>
      <c r="F2194" s="3" t="str">
        <f>CLEAN("FORBES ROAD TO CTH N")</f>
        <v>FORBES ROAD TO CTH N</v>
      </c>
      <c r="G2194" s="3" t="str">
        <f>CLEAN("DESIGN/PLAN CHECK REVIEW/RECST")</f>
        <v>DESIGN/PLAN CHECK REVIEW/RECST</v>
      </c>
      <c r="H2194" s="2" t="str">
        <f>CLEAN("CTH ET")</f>
        <v>CTH ET</v>
      </c>
      <c r="I2194" s="2" t="str">
        <f>CLEAN("206")</f>
        <v>206</v>
      </c>
    </row>
    <row r="2195" spans="1:9" x14ac:dyDescent="0.35">
      <c r="A2195" s="2" t="str">
        <f t="shared" si="340"/>
        <v>MONROE</v>
      </c>
      <c r="B2195" s="2" t="str">
        <f t="shared" si="341"/>
        <v>MONROE COUNTY</v>
      </c>
      <c r="C2195" s="2" t="s">
        <v>227</v>
      </c>
      <c r="D2195" s="2" t="str">
        <f>CLEAN("7373-00-70")</f>
        <v>7373-00-70</v>
      </c>
      <c r="E2195" s="3" t="str">
        <f>CLEAN("T OF TOMAH - T OF LA GRANGE")</f>
        <v>T OF TOMAH - T OF LA GRANGE</v>
      </c>
      <c r="F2195" s="3" t="str">
        <f>CLEAN("C OF TOMAH TO FLARE AVENUE")</f>
        <v>C OF TOMAH TO FLARE AVENUE</v>
      </c>
      <c r="G2195" s="3" t="str">
        <f>CLEAN("CONST OPS/RECONSTRUCT")</f>
        <v>CONST OPS/RECONSTRUCT</v>
      </c>
      <c r="H2195" s="2" t="str">
        <f>CLEAN("CTH ET")</f>
        <v>CTH ET</v>
      </c>
      <c r="I2195" s="2" t="str">
        <f>CLEAN("206")</f>
        <v>206</v>
      </c>
    </row>
    <row r="2196" spans="1:9" x14ac:dyDescent="0.35">
      <c r="A2196" s="2" t="str">
        <f t="shared" si="340"/>
        <v>MONROE</v>
      </c>
      <c r="B2196" s="2" t="str">
        <f t="shared" si="341"/>
        <v>MONROE COUNTY</v>
      </c>
      <c r="C2196" s="2" t="s">
        <v>229</v>
      </c>
      <c r="D2196" s="2" t="str">
        <f>CLEAN("7373-00-71")</f>
        <v>7373-00-71</v>
      </c>
      <c r="E2196" s="3" t="str">
        <f>CLEAN("T OF TOMAH - T OF LA GRANGE")</f>
        <v>T OF TOMAH - T OF LA GRANGE</v>
      </c>
      <c r="F2196" s="3" t="str">
        <f>CLEAN("FLARE AVENUE TO STH 21")</f>
        <v>FLARE AVENUE TO STH 21</v>
      </c>
      <c r="G2196" s="3" t="str">
        <f>CLEAN("CONST OPS/RECONSTRUCT")</f>
        <v>CONST OPS/RECONSTRUCT</v>
      </c>
      <c r="H2196" s="2" t="str">
        <f>CLEAN("CTH ET")</f>
        <v>CTH ET</v>
      </c>
      <c r="I2196" s="2" t="str">
        <f>CLEAN("206")</f>
        <v>206</v>
      </c>
    </row>
    <row r="2197" spans="1:9" x14ac:dyDescent="0.35">
      <c r="A2197" s="2" t="str">
        <f t="shared" si="340"/>
        <v>MONROE</v>
      </c>
      <c r="B2197" s="2" t="str">
        <f t="shared" si="341"/>
        <v>MONROE COUNTY</v>
      </c>
      <c r="C2197" s="2" t="s">
        <v>230</v>
      </c>
      <c r="D2197" s="2" t="str">
        <f>CLEAN("7373-00-74")</f>
        <v>7373-00-74</v>
      </c>
      <c r="E2197" s="3" t="str">
        <f>CLEAN("T LA GRANGE - T BYRON (CTH ET)")</f>
        <v>T LA GRANGE - T BYRON (CTH ET)</v>
      </c>
      <c r="F2197" s="3" t="str">
        <f>CLEAN("FORBES ROAD TO CTH N")</f>
        <v>FORBES ROAD TO CTH N</v>
      </c>
      <c r="G2197" s="3" t="str">
        <f>CLEAN("CONST OPS/RECONSTRUCT")</f>
        <v>CONST OPS/RECONSTRUCT</v>
      </c>
      <c r="H2197" s="2" t="str">
        <f>CLEAN("CTH ET")</f>
        <v>CTH ET</v>
      </c>
      <c r="I2197" s="2" t="str">
        <f>CLEAN("206")</f>
        <v>206</v>
      </c>
    </row>
    <row r="2198" spans="1:9" x14ac:dyDescent="0.35">
      <c r="A2198" s="2" t="str">
        <f t="shared" si="340"/>
        <v>MONROE</v>
      </c>
      <c r="B2198" s="2" t="str">
        <f t="shared" si="341"/>
        <v>MONROE COUNTY</v>
      </c>
      <c r="C2198" s="2" t="s">
        <v>674</v>
      </c>
      <c r="D2198" s="2" t="str">
        <f>CLEAN("7998-00-77")</f>
        <v>7998-00-77</v>
      </c>
      <c r="E2198" s="3" t="str">
        <f>CLEAN("TOMAH - MAUSTON")</f>
        <v>TOMAH - MAUSTON</v>
      </c>
      <c r="F2198" s="3" t="str">
        <f>CLEAN("VETERANS STREET INTERSECTION AREA")</f>
        <v>VETERANS STREET INTERSECTION AREA</v>
      </c>
      <c r="G2198" s="3" t="str">
        <f>CLEAN("CONST/PAV'T REPLACE/PVRPLA")</f>
        <v>CONST/PAV'T REPLACE/PVRPLA</v>
      </c>
      <c r="H2198" s="2" t="str">
        <f>CLEAN("USH 012")</f>
        <v>USH 012</v>
      </c>
      <c r="I2198" s="2" t="str">
        <f>CLEAN("303")</f>
        <v>303</v>
      </c>
    </row>
    <row r="2199" spans="1:9" x14ac:dyDescent="0.35">
      <c r="A2199" s="2" t="str">
        <f>CLEAN("STATEWIDE")</f>
        <v>STATEWIDE</v>
      </c>
      <c r="B2199" s="2" t="str">
        <f>CLEAN("MORAINE PARK TECH COLLEGE")</f>
        <v>MORAINE PARK TECH COLLEGE</v>
      </c>
      <c r="C2199" s="2" t="s">
        <v>1379</v>
      </c>
      <c r="D2199" s="2" t="str">
        <f>CLEAN("1000-20-78")</f>
        <v>1000-20-78</v>
      </c>
      <c r="E2199" s="3" t="str">
        <f>CLEAN("STATEWIDE TYPE 1 SIGN REPLACEMENT")</f>
        <v>STATEWIDE TYPE 1 SIGN REPLACEMENT</v>
      </c>
      <c r="F2199" s="3" t="str">
        <f>CLEAN("LOCATIONS ON STN PER ANNUAL PLAN")</f>
        <v>LOCATIONS ON STN PER ANNUAL PLAN</v>
      </c>
      <c r="G2199" s="3" t="str">
        <f>CLEAN("CONSTRUCTION/SIGN REPLACEMENTS")</f>
        <v>CONSTRUCTION/SIGN REPLACEMENTS</v>
      </c>
      <c r="H2199" s="2" t="str">
        <f>CLEAN("VAR HWY")</f>
        <v>VAR HWY</v>
      </c>
      <c r="I2199" s="2" t="str">
        <f>CLEAN("305")</f>
        <v>305</v>
      </c>
    </row>
    <row r="2200" spans="1:9" x14ac:dyDescent="0.35">
      <c r="A2200" s="2" t="str">
        <f>CLEAN("OZAUKEE")</f>
        <v>OZAUKEE</v>
      </c>
      <c r="B2200" s="2" t="str">
        <f>CLEAN("MT TRAILS FOUNDATION INC")</f>
        <v>MT TRAILS FOUNDATION INC</v>
      </c>
      <c r="C2200" s="2" t="s">
        <v>2809</v>
      </c>
      <c r="D2200" s="2" t="str">
        <f>CLEAN("2697-22-00")</f>
        <v>2697-22-00</v>
      </c>
      <c r="E2200" s="3" t="str">
        <f>CLEAN("HIGHLAND ROAD BIKE SPUR")</f>
        <v>HIGHLAND ROAD BIKE SPUR</v>
      </c>
      <c r="F2200" s="3" t="str">
        <f>CLEAN("ROTARY PK-OZAUKEE INTERURBAN TRL")</f>
        <v>ROTARY PK-OZAUKEE INTERURBAN TRL</v>
      </c>
      <c r="G2200" s="3" t="str">
        <f>CLEAN("PE/FULL PS/MISC")</f>
        <v>PE/FULL PS/MISC</v>
      </c>
      <c r="H2200" s="2" t="str">
        <f>CLEAN("NON HWY")</f>
        <v>NON HWY</v>
      </c>
      <c r="I2200" s="2" t="str">
        <f>CLEAN("290")</f>
        <v>290</v>
      </c>
    </row>
    <row r="2201" spans="1:9" x14ac:dyDescent="0.35">
      <c r="A2201" s="2" t="str">
        <f>CLEAN("OZAUKEE")</f>
        <v>OZAUKEE</v>
      </c>
      <c r="B2201" s="2" t="str">
        <f>CLEAN("MT TRAILS FOUNDATION INC")</f>
        <v>MT TRAILS FOUNDATION INC</v>
      </c>
      <c r="C2201" s="2" t="s">
        <v>1086</v>
      </c>
      <c r="D2201" s="2" t="str">
        <f>CLEAN("2697-22-70")</f>
        <v>2697-22-70</v>
      </c>
      <c r="E2201" s="3" t="str">
        <f>CLEAN("HIGHLAND ROAD BIKE SPUR")</f>
        <v>HIGHLAND ROAD BIKE SPUR</v>
      </c>
      <c r="F2201" s="3" t="str">
        <f>CLEAN("ROTARY PK-OZAUKEE INTERURBAN TRL")</f>
        <v>ROTARY PK-OZAUKEE INTERURBAN TRL</v>
      </c>
      <c r="G2201" s="3" t="str">
        <f>CLEAN("CONST/TRAIL")</f>
        <v>CONST/TRAIL</v>
      </c>
      <c r="H2201" s="2" t="str">
        <f>CLEAN("NON HWY")</f>
        <v>NON HWY</v>
      </c>
      <c r="I2201" s="2" t="str">
        <f>CLEAN("290")</f>
        <v>290</v>
      </c>
    </row>
    <row r="2202" spans="1:9" x14ac:dyDescent="0.35">
      <c r="A2202" s="2" t="str">
        <f>CLEAN("MILWAUKEE")</f>
        <v>MILWAUKEE</v>
      </c>
      <c r="B2202" s="2" t="str">
        <f>CLEAN("NATIONAL HWY TRAFFIC SAFETY ADMIN (NHTSA) SECT 164")</f>
        <v>NATIONAL HWY TRAFFIC SAFETY ADMIN (NHTSA) SECT 164</v>
      </c>
      <c r="C2202" s="2" t="s">
        <v>568</v>
      </c>
      <c r="D2202" s="2" t="str">
        <f>CLEAN("2645-06-90")</f>
        <v>2645-06-90</v>
      </c>
      <c r="E2202" s="3" t="str">
        <f>CLEAN("CITY OF MILW  VAR LOCAL STREETS")</f>
        <v>CITY OF MILW  VAR LOCAL STREETS</v>
      </c>
      <c r="F2202" s="3" t="str">
        <f>CLEAN("COUNTDOWN TIMERS 3")</f>
        <v>COUNTDOWN TIMERS 3</v>
      </c>
      <c r="G2202" s="3" t="str">
        <f>CLEAN("CONST/HSIP COUNTDOWN TIMERS 3")</f>
        <v>CONST/HSIP COUNTDOWN TIMERS 3</v>
      </c>
      <c r="H2202" s="2" t="str">
        <f>CLEAN("LOC STR")</f>
        <v>LOC STR</v>
      </c>
      <c r="I2202" s="2" t="str">
        <f>CLEAN("206")</f>
        <v>206</v>
      </c>
    </row>
    <row r="2203" spans="1:9" x14ac:dyDescent="0.35">
      <c r="A2203" s="2" t="str">
        <f>CLEAN("MILWAUKEE")</f>
        <v>MILWAUKEE</v>
      </c>
      <c r="B2203" s="2" t="str">
        <f>CLEAN("NATIONAL HWY TRAFFIC SAFETY ADMIN (NHTSA) SECT 164")</f>
        <v>NATIONAL HWY TRAFFIC SAFETY ADMIN (NHTSA) SECT 164</v>
      </c>
      <c r="C2203" s="2" t="s">
        <v>577</v>
      </c>
      <c r="D2203" s="2" t="str">
        <f>CLEAN("2645-07-90")</f>
        <v>2645-07-90</v>
      </c>
      <c r="E2203" s="3" t="str">
        <f>CLEAN("CITY OF MILW  VAR LOCAL STREETS")</f>
        <v>CITY OF MILW  VAR LOCAL STREETS</v>
      </c>
      <c r="F2203" s="3" t="str">
        <f>CLEAN("COUNTDOWN TIMERS NO 2")</f>
        <v>COUNTDOWN TIMERS NO 2</v>
      </c>
      <c r="G2203" s="3" t="str">
        <f>CLEAN("CONST/HSIP-COUNTDOWN TIMERS NO 2")</f>
        <v>CONST/HSIP-COUNTDOWN TIMERS NO 2</v>
      </c>
      <c r="H2203" s="2" t="str">
        <f>CLEAN("LOC STR")</f>
        <v>LOC STR</v>
      </c>
      <c r="I2203" s="2" t="str">
        <f>CLEAN("206")</f>
        <v>206</v>
      </c>
    </row>
    <row r="2204" spans="1:9" x14ac:dyDescent="0.35">
      <c r="A2204" s="2" t="str">
        <f>CLEAN("MILWAUKEE")</f>
        <v>MILWAUKEE</v>
      </c>
      <c r="B2204" s="2" t="str">
        <f>CLEAN("NATIONAL RAILROAD PASSENGER CORP")</f>
        <v>NATIONAL RAILROAD PASSENGER CORP</v>
      </c>
      <c r="C2204" s="2" t="s">
        <v>2495</v>
      </c>
      <c r="D2204" s="2" t="str">
        <f>CLEAN("1000-57-70")</f>
        <v>1000-57-70</v>
      </c>
      <c r="E2204" s="3" t="str">
        <f>CLEAN("MILWAUKEE AIRPORT 2ND PLATFORM")</f>
        <v>MILWAUKEE AIRPORT 2ND PLATFORM</v>
      </c>
      <c r="F2204" s="3" t="str">
        <f>CLEAN("RR CROSSING 393023R TO 1200FT SOUTH")</f>
        <v>RR CROSSING 393023R TO 1200FT SOUTH</v>
      </c>
      <c r="G2204" s="3" t="str">
        <f>CLEAN("EX- CONST/RR CROSSING IMPROVEMENT")</f>
        <v>EX- CONST/RR CROSSING IMPROVEMENT</v>
      </c>
      <c r="H2204" s="2" t="str">
        <f>CLEAN("STH 119")</f>
        <v>STH 119</v>
      </c>
      <c r="I2204" s="2" t="str">
        <f>CLEAN("207")</f>
        <v>207</v>
      </c>
    </row>
    <row r="2205" spans="1:9" x14ac:dyDescent="0.35">
      <c r="A2205" s="2" t="str">
        <f>CLEAN("MILWAUKEE")</f>
        <v>MILWAUKEE</v>
      </c>
      <c r="B2205" s="2" t="str">
        <f>CLEAN("NATIONAL RAILROAD PASSENGER CORP")</f>
        <v>NATIONAL RAILROAD PASSENGER CORP</v>
      </c>
      <c r="C2205" s="2" t="s">
        <v>2523</v>
      </c>
      <c r="D2205" s="2" t="str">
        <f>CLEAN("1000-73-50")</f>
        <v>1000-73-50</v>
      </c>
      <c r="E2205" s="3" t="str">
        <f>CLEAN("MUSKEGO YARDS CRISI GRANT")</f>
        <v>MUSKEGO YARDS CRISI GRANT</v>
      </c>
      <c r="F2205" s="3" t="str">
        <f>CLEAN("MUSKEGO YARD FREIGHT TRACKS")</f>
        <v>MUSKEGO YARD FREIGHT TRACKS</v>
      </c>
      <c r="G2205" s="3" t="str">
        <f>CLEAN("EX-RR/FINAL SIGNAL DESIGN")</f>
        <v>EX-RR/FINAL SIGNAL DESIGN</v>
      </c>
      <c r="H2205" s="2" t="str">
        <f t="shared" ref="H2205:H2211" si="343">CLEAN("NON HWY")</f>
        <v>NON HWY</v>
      </c>
      <c r="I2205" s="2" t="str">
        <f>CLEAN("207")</f>
        <v>207</v>
      </c>
    </row>
    <row r="2206" spans="1:9" x14ac:dyDescent="0.35">
      <c r="A2206" s="2" t="str">
        <f>CLEAN("LA CROSSE")</f>
        <v>LA CROSSE</v>
      </c>
      <c r="B2206" s="2" t="str">
        <f>CLEAN("NATIONAL RAILROAD PASSENGER CORP")</f>
        <v>NATIONAL RAILROAD PASSENGER CORP</v>
      </c>
      <c r="C2206" s="2" t="s">
        <v>2519</v>
      </c>
      <c r="D2206" s="2" t="str">
        <f>CLEAN("1000-74-54")</f>
        <v>1000-74-54</v>
      </c>
      <c r="E2206" s="3" t="str">
        <f>CLEAN("TCMC INTERCITY PASSENGER RAIL GRANT")</f>
        <v>TCMC INTERCITY PASSENGER RAIL GRANT</v>
      </c>
      <c r="F2206" s="3" t="str">
        <f>CLEAN("LA CROSSE - ST. PAUL")</f>
        <v>LA CROSSE - ST. PAUL</v>
      </c>
      <c r="G2206" s="3" t="str">
        <f>CLEAN("EX-INFRASTR IMP 2ND RND TRP WI ONLY")</f>
        <v>EX-INFRASTR IMP 2ND RND TRP WI ONLY</v>
      </c>
      <c r="H2206" s="2" t="str">
        <f t="shared" si="343"/>
        <v>NON HWY</v>
      </c>
      <c r="I2206" s="2" t="str">
        <f>CLEAN("207")</f>
        <v>207</v>
      </c>
    </row>
    <row r="2207" spans="1:9" x14ac:dyDescent="0.35">
      <c r="A2207" s="2" t="str">
        <f>CLEAN("LA CROSSE")</f>
        <v>LA CROSSE</v>
      </c>
      <c r="B2207" s="2" t="str">
        <f>CLEAN("NATIONAL RAILROAD PASSENGER CORP")</f>
        <v>NATIONAL RAILROAD PASSENGER CORP</v>
      </c>
      <c r="C2207" s="2" t="s">
        <v>2516</v>
      </c>
      <c r="D2207" s="2" t="str">
        <f>CLEAN("1000-74-55")</f>
        <v>1000-74-55</v>
      </c>
      <c r="E2207" s="3" t="str">
        <f>CLEAN("TCMC INTERCITY PASSENGER RAIL GRANT")</f>
        <v>TCMC INTERCITY PASSENGER RAIL GRANT</v>
      </c>
      <c r="F2207" s="3" t="str">
        <f>CLEAN("LA CROSSE-ST. PAUL/MNDOT ID T9AG347")</f>
        <v>LA CROSSE-ST. PAUL/MNDOT ID T9AG347</v>
      </c>
      <c r="G2207" s="3" t="str">
        <f>CLEAN("EX-INFRASTR IMP 2ND RND TRP MN ONLY")</f>
        <v>EX-INFRASTR IMP 2ND RND TRP MN ONLY</v>
      </c>
      <c r="H2207" s="2" t="str">
        <f t="shared" si="343"/>
        <v>NON HWY</v>
      </c>
      <c r="I2207" s="2" t="str">
        <f>CLEAN("207")</f>
        <v>207</v>
      </c>
    </row>
    <row r="2208" spans="1:9" x14ac:dyDescent="0.35">
      <c r="A2208" s="2" t="str">
        <f>CLEAN("LA CROSSE")</f>
        <v>LA CROSSE</v>
      </c>
      <c r="B2208" s="2" t="str">
        <f>CLEAN("NATIONAL RAILROAD PASSENGER CORP")</f>
        <v>NATIONAL RAILROAD PASSENGER CORP</v>
      </c>
      <c r="C2208" s="2" t="s">
        <v>2517</v>
      </c>
      <c r="D2208" s="2" t="str">
        <f>CLEAN("1000-79-51")</f>
        <v>1000-79-51</v>
      </c>
      <c r="E2208" s="3" t="str">
        <f>CLEAN("TCMC INTERCITY PASSENGER RAIL GRANT")</f>
        <v>TCMC INTERCITY PASSENGER RAIL GRANT</v>
      </c>
      <c r="F2208" s="3" t="str">
        <f>CLEAN("LA CROSSE-ST. PAUL/MNDOT ID T9AG347")</f>
        <v>LA CROSSE-ST. PAUL/MNDOT ID T9AG347</v>
      </c>
      <c r="G2208" s="3" t="str">
        <f>CLEAN("EX-INFRASTR IMP 2ND RND TRP MN ONLY")</f>
        <v>EX-INFRASTR IMP 2ND RND TRP MN ONLY</v>
      </c>
      <c r="H2208" s="2" t="str">
        <f t="shared" si="343"/>
        <v>NON HWY</v>
      </c>
      <c r="I2208" s="2" t="str">
        <f>CLEAN("207")</f>
        <v>207</v>
      </c>
    </row>
    <row r="2209" spans="1:9" x14ac:dyDescent="0.35">
      <c r="A2209" s="2" t="str">
        <f>CLEAN("LANGLADE")</f>
        <v>LANGLADE</v>
      </c>
      <c r="B2209" s="2" t="str">
        <f>CLEAN("NORTH CENTRAL WIS REG PLANNING COMM")</f>
        <v>NORTH CENTRAL WIS REG PLANNING COMM</v>
      </c>
      <c r="C2209" s="2" t="s">
        <v>2239</v>
      </c>
      <c r="D2209" s="2" t="str">
        <f>CLEAN("1009-07-34")</f>
        <v>1009-07-34</v>
      </c>
      <c r="E2209" s="3" t="str">
        <f>CLEAN("NCWRPC SRTS URBAN PROGRAM")</f>
        <v>NCWRPC SRTS URBAN PROGRAM</v>
      </c>
      <c r="F2209" s="3" t="str">
        <f>CLEAN("2 URBAN DISTRICTS LANGLADE/MARATHON")</f>
        <v>2 URBAN DISTRICTS LANGLADE/MARATHON</v>
      </c>
      <c r="G2209" s="3" t="str">
        <f>CLEAN("DESIGN/PLAN STUDY")</f>
        <v>DESIGN/PLAN STUDY</v>
      </c>
      <c r="H2209" s="2" t="str">
        <f t="shared" si="343"/>
        <v>NON HWY</v>
      </c>
      <c r="I2209" s="2" t="str">
        <f>CLEAN("290")</f>
        <v>290</v>
      </c>
    </row>
    <row r="2210" spans="1:9" x14ac:dyDescent="0.35">
      <c r="A2210" s="2" t="str">
        <f>CLEAN("NORTH CENTRAL REGION WIDE")</f>
        <v>NORTH CENTRAL REGION WIDE</v>
      </c>
      <c r="B2210" s="2" t="str">
        <f>CLEAN("NORTH CENTRAL WIS REG PLANNING COMM")</f>
        <v>NORTH CENTRAL WIS REG PLANNING COMM</v>
      </c>
      <c r="C2210" s="2" t="s">
        <v>2238</v>
      </c>
      <c r="D2210" s="2" t="str">
        <f>CLEAN("1009-07-35")</f>
        <v>1009-07-35</v>
      </c>
      <c r="E2210" s="3" t="str">
        <f>CLEAN("NCWRPC SRTS RURAL PROGRAM")</f>
        <v>NCWRPC SRTS RURAL PROGRAM</v>
      </c>
      <c r="F2210" s="3" t="str">
        <f>CLEAN("2 RURAL DISTRICTS LINCOLN/JUNEAU")</f>
        <v>2 RURAL DISTRICTS LINCOLN/JUNEAU</v>
      </c>
      <c r="G2210" s="3" t="str">
        <f>CLEAN("DESIGN/PLAN STUDY")</f>
        <v>DESIGN/PLAN STUDY</v>
      </c>
      <c r="H2210" s="2" t="str">
        <f t="shared" si="343"/>
        <v>NON HWY</v>
      </c>
      <c r="I2210" s="2" t="str">
        <f>CLEAN("290")</f>
        <v>290</v>
      </c>
    </row>
    <row r="2211" spans="1:9" x14ac:dyDescent="0.35">
      <c r="A2211" s="2" t="str">
        <f>CLEAN("NORTH CENTRAL REGION WIDE")</f>
        <v>NORTH CENTRAL REGION WIDE</v>
      </c>
      <c r="B2211" s="2" t="str">
        <f>CLEAN("NORTH CENTRAL WIS REG PLANNING COMM")</f>
        <v>NORTH CENTRAL WIS REG PLANNING COMM</v>
      </c>
      <c r="C2211" s="2" t="s">
        <v>2049</v>
      </c>
      <c r="D2211" s="2" t="str">
        <f>CLEAN("1009-44-03")</f>
        <v>1009-44-03</v>
      </c>
      <c r="E2211" s="3" t="str">
        <f>CLEAN("NCWRPC SAFE ROUTES TO SCHOOL PLAN")</f>
        <v>NCWRPC SAFE ROUTES TO SCHOOL PLAN</v>
      </c>
      <c r="F2211" s="3" t="str">
        <f>CLEAN("5-COUNTY REGIONWIDE PLAN")</f>
        <v>5-COUNTY REGIONWIDE PLAN</v>
      </c>
      <c r="G2211" s="3" t="str">
        <f>CLEAN("DESIGN/PLAN")</f>
        <v>DESIGN/PLAN</v>
      </c>
      <c r="H2211" s="2" t="str">
        <f t="shared" si="343"/>
        <v>NON HWY</v>
      </c>
      <c r="I2211" s="2" t="str">
        <f>CLEAN("290")</f>
        <v>290</v>
      </c>
    </row>
    <row r="2212" spans="1:9" x14ac:dyDescent="0.35">
      <c r="A2212" s="2" t="str">
        <f>CLEAN("OCONTO")</f>
        <v>OCONTO</v>
      </c>
      <c r="B2212" s="2" t="str">
        <f>CLEAN("OCONTO COUNTY")</f>
        <v>OCONTO COUNTY</v>
      </c>
      <c r="C2212" s="2" t="s">
        <v>2376</v>
      </c>
      <c r="D2212" s="2" t="str">
        <f>CLEAN("9077-04-00")</f>
        <v>9077-04-00</v>
      </c>
      <c r="E2212" s="3" t="str">
        <f>CLEAN("T LAKEWOOD  SMYTH ROAD")</f>
        <v>T LAKEWOOD  SMYTH ROAD</v>
      </c>
      <c r="F2212" s="3" t="str">
        <f>CLEAN("N BRANCH OCONTO RIVER BRIDGE")</f>
        <v>N BRANCH OCONTO RIVER BRIDGE</v>
      </c>
      <c r="G2212" s="3" t="str">
        <f>CLEAN("DSGN/FULL PSE/BRRPL/P-42-0042")</f>
        <v>DSGN/FULL PSE/BRRPL/P-42-0042</v>
      </c>
      <c r="H2212" s="2" t="str">
        <f>CLEAN("LOC STR")</f>
        <v>LOC STR</v>
      </c>
      <c r="I2212" s="2" t="str">
        <f>CLEAN("205")</f>
        <v>205</v>
      </c>
    </row>
    <row r="2213" spans="1:9" x14ac:dyDescent="0.35">
      <c r="A2213" s="2" t="str">
        <f>CLEAN("OCONTO")</f>
        <v>OCONTO</v>
      </c>
      <c r="B2213" s="2" t="str">
        <f>CLEAN("OCONTO COUNTY")</f>
        <v>OCONTO COUNTY</v>
      </c>
      <c r="C2213" s="2" t="s">
        <v>2467</v>
      </c>
      <c r="D2213" s="2" t="str">
        <f>CLEAN("9095-10-00")</f>
        <v>9095-10-00</v>
      </c>
      <c r="E2213" s="3" t="str">
        <f>CLEAN("PITTSFIELD - CHASE")</f>
        <v>PITTSFIELD - CHASE</v>
      </c>
      <c r="F2213" s="3" t="str">
        <f>CLEAN("S COUNTY LINE TO CTH S")</f>
        <v>S COUNTY LINE TO CTH S</v>
      </c>
      <c r="G2213" s="3" t="str">
        <f>CLEAN("DSN/FULL PSE/PVRPLA")</f>
        <v>DSN/FULL PSE/PVRPLA</v>
      </c>
      <c r="H2213" s="2" t="str">
        <f>CLEAN("CTH C")</f>
        <v>CTH C</v>
      </c>
      <c r="I2213" s="2" t="str">
        <f>CLEAN("206")</f>
        <v>206</v>
      </c>
    </row>
    <row r="2214" spans="1:9" x14ac:dyDescent="0.35">
      <c r="A2214" s="2" t="str">
        <f>CLEAN("OCONTO")</f>
        <v>OCONTO</v>
      </c>
      <c r="B2214" s="2" t="str">
        <f>CLEAN("OCONTO COUNTY")</f>
        <v>OCONTO COUNTY</v>
      </c>
      <c r="C2214" s="2" t="s">
        <v>724</v>
      </c>
      <c r="D2214" s="2" t="str">
        <f>CLEAN("9095-10-71")</f>
        <v>9095-10-71</v>
      </c>
      <c r="E2214" s="3" t="str">
        <f>CLEAN("PITTSFIELD - CHASE")</f>
        <v>PITTSFIELD - CHASE</v>
      </c>
      <c r="F2214" s="3" t="str">
        <f>CLEAN("S COUNTY LINE TO CTH S")</f>
        <v>S COUNTY LINE TO CTH S</v>
      </c>
      <c r="G2214" s="3" t="str">
        <f>CLEAN("CONST/PVRPLA")</f>
        <v>CONST/PVRPLA</v>
      </c>
      <c r="H2214" s="2" t="str">
        <f>CLEAN("CTH C")</f>
        <v>CTH C</v>
      </c>
      <c r="I2214" s="2" t="str">
        <f>CLEAN("206")</f>
        <v>206</v>
      </c>
    </row>
    <row r="2215" spans="1:9" x14ac:dyDescent="0.35">
      <c r="A2215" s="2" t="str">
        <f>CLEAN("OCONTO")</f>
        <v>OCONTO</v>
      </c>
      <c r="B2215" s="2" t="str">
        <f>CLEAN("OCONTO COUNTY")</f>
        <v>OCONTO COUNTY</v>
      </c>
      <c r="C2215" s="2" t="s">
        <v>2402</v>
      </c>
      <c r="D2215" s="2" t="str">
        <f>CLEAN("9115-03-00")</f>
        <v>9115-03-00</v>
      </c>
      <c r="E2215" s="3" t="str">
        <f>CLEAN("T UNDERHILL  CTH R")</f>
        <v>T UNDERHILL  CTH R</v>
      </c>
      <c r="F2215" s="3" t="str">
        <f>CLEAN("CTH VV TO BLOOM ROAD")</f>
        <v>CTH VV TO BLOOM ROAD</v>
      </c>
      <c r="G2215" s="3" t="str">
        <f>CLEAN("DSGN/FULL PSE/PVRPLA")</f>
        <v>DSGN/FULL PSE/PVRPLA</v>
      </c>
      <c r="H2215" s="2" t="str">
        <f>CLEAN("CTH R")</f>
        <v>CTH R</v>
      </c>
      <c r="I2215" s="2" t="str">
        <f>CLEAN("206")</f>
        <v>206</v>
      </c>
    </row>
    <row r="2216" spans="1:9" x14ac:dyDescent="0.35">
      <c r="A2216" s="2" t="str">
        <f t="shared" ref="A2216:A2226" si="344">CLEAN("ONEIDA")</f>
        <v>ONEIDA</v>
      </c>
      <c r="B2216" s="2" t="str">
        <f t="shared" ref="B2216:B2226" si="345">CLEAN("ONEIDA COUNTY")</f>
        <v>ONEIDA COUNTY</v>
      </c>
      <c r="C2216" s="2" t="s">
        <v>1981</v>
      </c>
      <c r="D2216" s="2" t="str">
        <f>CLEAN("9449-00-00")</f>
        <v>9449-00-00</v>
      </c>
      <c r="E2216" s="3" t="str">
        <f>CLEAN("RHINELANDER - USH 45")</f>
        <v>RHINELANDER - USH 45</v>
      </c>
      <c r="F2216" s="3" t="str">
        <f>CLEAN("N BR PELICAN RIVER BRIDGE  B430005")</f>
        <v>N BR PELICAN RIVER BRIDGE  B430005</v>
      </c>
      <c r="G2216" s="3" t="str">
        <f>CLEAN("DESIGN/FULL PSE/REPLACEMENT")</f>
        <v>DESIGN/FULL PSE/REPLACEMENT</v>
      </c>
      <c r="H2216" s="2" t="str">
        <f>CLEAN("CTH C")</f>
        <v>CTH C</v>
      </c>
      <c r="I2216" s="2" t="str">
        <f>CLEAN("205")</f>
        <v>205</v>
      </c>
    </row>
    <row r="2217" spans="1:9" x14ac:dyDescent="0.35">
      <c r="A2217" s="2" t="str">
        <f t="shared" si="344"/>
        <v>ONEIDA</v>
      </c>
      <c r="B2217" s="2" t="str">
        <f t="shared" si="345"/>
        <v>ONEIDA COUNTY</v>
      </c>
      <c r="C2217" s="2" t="s">
        <v>2005</v>
      </c>
      <c r="D2217" s="2" t="str">
        <f>CLEAN("9451-00-00")</f>
        <v>9451-00-00</v>
      </c>
      <c r="E2217" s="3" t="str">
        <f>CLEAN("CTH O - CTH H")</f>
        <v>CTH O - CTH H</v>
      </c>
      <c r="F2217" s="3" t="str">
        <f>CLEAN("SUGAR CAMP CREEK BRIDGE  B-43-0006")</f>
        <v>SUGAR CAMP CREEK BRIDGE  B-43-0006</v>
      </c>
      <c r="G2217" s="3" t="str">
        <f>CLEAN("DESIGN/FULL PSE/REPLACEMENT")</f>
        <v>DESIGN/FULL PSE/REPLACEMENT</v>
      </c>
      <c r="H2217" s="2" t="str">
        <f>CLEAN("CTH D")</f>
        <v>CTH D</v>
      </c>
      <c r="I2217" s="2" t="str">
        <f>CLEAN("205")</f>
        <v>205</v>
      </c>
    </row>
    <row r="2218" spans="1:9" x14ac:dyDescent="0.35">
      <c r="A2218" s="2" t="str">
        <f t="shared" si="344"/>
        <v>ONEIDA</v>
      </c>
      <c r="B2218" s="2" t="str">
        <f t="shared" si="345"/>
        <v>ONEIDA COUNTY</v>
      </c>
      <c r="C2218" s="2" t="s">
        <v>1899</v>
      </c>
      <c r="D2218" s="2" t="str">
        <f>CLEAN("9454-00-00")</f>
        <v>9454-00-00</v>
      </c>
      <c r="E2218" s="3" t="str">
        <f>CLEAN("LAKE TOMAHAWK - STH 70")</f>
        <v>LAKE TOMAHAWK - STH 70</v>
      </c>
      <c r="F2218" s="3" t="str">
        <f>CLEAN("CTH D TO STH 70")</f>
        <v>CTH D TO STH 70</v>
      </c>
      <c r="G2218" s="3" t="str">
        <f>CLEAN("DESIGN/FULL PSE/HSIP")</f>
        <v>DESIGN/FULL PSE/HSIP</v>
      </c>
      <c r="H2218" s="2" t="str">
        <f>CLEAN("CTH H")</f>
        <v>CTH H</v>
      </c>
      <c r="I2218" s="2" t="str">
        <f>CLEAN("206")</f>
        <v>206</v>
      </c>
    </row>
    <row r="2219" spans="1:9" x14ac:dyDescent="0.35">
      <c r="A2219" s="2" t="str">
        <f t="shared" si="344"/>
        <v>ONEIDA</v>
      </c>
      <c r="B2219" s="2" t="str">
        <f t="shared" si="345"/>
        <v>ONEIDA COUNTY</v>
      </c>
      <c r="C2219" s="2" t="s">
        <v>1921</v>
      </c>
      <c r="D2219" s="2" t="str">
        <f>CLEAN("9464-00-03")</f>
        <v>9464-00-03</v>
      </c>
      <c r="E2219" s="3" t="str">
        <f>CLEAN("RHINELANDER - STH 17")</f>
        <v>RHINELANDER - STH 17</v>
      </c>
      <c r="F2219" s="3" t="str">
        <f>CLEAN("SHORT ROAD TO STH 17")</f>
        <v>SHORT ROAD TO STH 17</v>
      </c>
      <c r="G2219" s="3" t="str">
        <f>CLEAN("DESIGN/FULL PSE/PVRPLA")</f>
        <v>DESIGN/FULL PSE/PVRPLA</v>
      </c>
      <c r="H2219" s="2" t="str">
        <f>CLEAN("CTH W")</f>
        <v>CTH W</v>
      </c>
      <c r="I2219" s="2" t="str">
        <f>CLEAN("206")</f>
        <v>206</v>
      </c>
    </row>
    <row r="2220" spans="1:9" x14ac:dyDescent="0.35">
      <c r="A2220" s="2" t="str">
        <f t="shared" si="344"/>
        <v>ONEIDA</v>
      </c>
      <c r="B2220" s="2" t="str">
        <f t="shared" si="345"/>
        <v>ONEIDA COUNTY</v>
      </c>
      <c r="C2220" s="2" t="s">
        <v>1948</v>
      </c>
      <c r="D2220" s="2" t="str">
        <f>CLEAN("9876-00-00")</f>
        <v>9876-00-00</v>
      </c>
      <c r="E2220" s="3" t="str">
        <f>CLEAN("LINCOLN COUNTY LINE - USH 51")</f>
        <v>LINCOLN COUNTY LINE - USH 51</v>
      </c>
      <c r="F2220" s="3" t="str">
        <f>CLEAN("BEARSKIN CREEK BRIDGE  B-43-0672")</f>
        <v>BEARSKIN CREEK BRIDGE  B-43-0672</v>
      </c>
      <c r="G2220" s="3" t="str">
        <f>CLEAN("DESIGN/FULL PSE/REPLACEMENT")</f>
        <v>DESIGN/FULL PSE/REPLACEMENT</v>
      </c>
      <c r="H2220" s="2" t="str">
        <f>CLEAN("CTH L")</f>
        <v>CTH L</v>
      </c>
      <c r="I2220" s="2" t="str">
        <f>CLEAN("205")</f>
        <v>205</v>
      </c>
    </row>
    <row r="2221" spans="1:9" x14ac:dyDescent="0.35">
      <c r="A2221" s="2" t="str">
        <f t="shared" si="344"/>
        <v>ONEIDA</v>
      </c>
      <c r="B2221" s="2" t="str">
        <f t="shared" si="345"/>
        <v>ONEIDA COUNTY</v>
      </c>
      <c r="C2221" s="2" t="s">
        <v>1727</v>
      </c>
      <c r="D2221" s="2" t="str">
        <f>CLEAN("9876-00-01")</f>
        <v>9876-00-01</v>
      </c>
      <c r="E2221" s="3" t="str">
        <f>CLEAN("USH 8 - USH 51")</f>
        <v>USH 8 - USH 51</v>
      </c>
      <c r="F2221" s="3" t="str">
        <f>CLEAN("LINCOLN COUNTY LINE TO USH 51")</f>
        <v>LINCOLN COUNTY LINE TO USH 51</v>
      </c>
      <c r="G2221" s="3" t="str">
        <f>CLEAN("DESIGN OVERSITE/RESURFACE")</f>
        <v>DESIGN OVERSITE/RESURFACE</v>
      </c>
      <c r="H2221" s="2" t="str">
        <f>CLEAN("CTH L")</f>
        <v>CTH L</v>
      </c>
      <c r="I2221" s="2" t="str">
        <f>CLEAN("206")</f>
        <v>206</v>
      </c>
    </row>
    <row r="2222" spans="1:9" x14ac:dyDescent="0.35">
      <c r="A2222" s="2" t="str">
        <f t="shared" si="344"/>
        <v>ONEIDA</v>
      </c>
      <c r="B2222" s="2" t="str">
        <f t="shared" si="345"/>
        <v>ONEIDA COUNTY</v>
      </c>
      <c r="C2222" s="2" t="s">
        <v>878</v>
      </c>
      <c r="D2222" s="2" t="str">
        <f>CLEAN("9876-00-70")</f>
        <v>9876-00-70</v>
      </c>
      <c r="E2222" s="3" t="str">
        <f>CLEAN("LINCOLN COUNTY LINE - USH 51")</f>
        <v>LINCOLN COUNTY LINE - USH 51</v>
      </c>
      <c r="F2222" s="3" t="str">
        <f>CLEAN("BEARSKIN CREEK BRIDGE  B-43-0068")</f>
        <v>BEARSKIN CREEK BRIDGE  B-43-0068</v>
      </c>
      <c r="G2222" s="3" t="str">
        <f>CLEAN("CONST/REPLACEMENT")</f>
        <v>CONST/REPLACEMENT</v>
      </c>
      <c r="H2222" s="2" t="str">
        <f>CLEAN("CTH L")</f>
        <v>CTH L</v>
      </c>
      <c r="I2222" s="2" t="str">
        <f>CLEAN("205")</f>
        <v>205</v>
      </c>
    </row>
    <row r="2223" spans="1:9" x14ac:dyDescent="0.35">
      <c r="A2223" s="2" t="str">
        <f t="shared" si="344"/>
        <v>ONEIDA</v>
      </c>
      <c r="B2223" s="2" t="str">
        <f t="shared" si="345"/>
        <v>ONEIDA COUNTY</v>
      </c>
      <c r="C2223" s="2" t="s">
        <v>973</v>
      </c>
      <c r="D2223" s="2" t="str">
        <f>CLEAN("9876-00-71")</f>
        <v>9876-00-71</v>
      </c>
      <c r="E2223" s="3" t="str">
        <f>CLEAN("USH 8 - USH 51")</f>
        <v>USH 8 - USH 51</v>
      </c>
      <c r="F2223" s="3" t="str">
        <f>CLEAN("LINCOLN COUNTY LINE TO USH 51")</f>
        <v>LINCOLN COUNTY LINE TO USH 51</v>
      </c>
      <c r="G2223" s="3" t="str">
        <f>CLEAN("CONST/RESURFACE")</f>
        <v>CONST/RESURFACE</v>
      </c>
      <c r="H2223" s="2" t="str">
        <f>CLEAN("CTH L")</f>
        <v>CTH L</v>
      </c>
      <c r="I2223" s="2" t="str">
        <f>CLEAN("206")</f>
        <v>206</v>
      </c>
    </row>
    <row r="2224" spans="1:9" x14ac:dyDescent="0.35">
      <c r="A2224" s="2" t="str">
        <f t="shared" si="344"/>
        <v>ONEIDA</v>
      </c>
      <c r="B2224" s="2" t="str">
        <f t="shared" si="345"/>
        <v>ONEIDA COUNTY</v>
      </c>
      <c r="C2224" s="2" t="s">
        <v>2014</v>
      </c>
      <c r="D2224" s="2" t="str">
        <f>CLEAN("9877-00-02")</f>
        <v>9877-00-02</v>
      </c>
      <c r="E2224" s="3" t="str">
        <f>CLEAN("RHINELANDER - USH 8")</f>
        <v>RHINELANDER - USH 8</v>
      </c>
      <c r="F2224" s="3" t="str">
        <f>CLEAN("EISENHOWER PARKWAY TO FAUST LAKE RD")</f>
        <v>EISENHOWER PARKWAY TO FAUST LAKE RD</v>
      </c>
      <c r="G2224" s="3" t="str">
        <f>CLEAN("DESIGN/FULL PSE/RESURFACE")</f>
        <v>DESIGN/FULL PSE/RESURFACE</v>
      </c>
      <c r="H2224" s="2" t="str">
        <f>CLEAN("CTH P")</f>
        <v>CTH P</v>
      </c>
      <c r="I2224" s="2" t="str">
        <f>CLEAN("206")</f>
        <v>206</v>
      </c>
    </row>
    <row r="2225" spans="1:9" x14ac:dyDescent="0.35">
      <c r="A2225" s="2" t="str">
        <f t="shared" si="344"/>
        <v>ONEIDA</v>
      </c>
      <c r="B2225" s="2" t="str">
        <f t="shared" si="345"/>
        <v>ONEIDA COUNTY</v>
      </c>
      <c r="C2225" s="2" t="s">
        <v>2015</v>
      </c>
      <c r="D2225" s="2" t="str">
        <f>CLEAN("9877-00-03")</f>
        <v>9877-00-03</v>
      </c>
      <c r="E2225" s="3" t="str">
        <f>CLEAN("RHINELANDER - USH 8")</f>
        <v>RHINELANDER - USH 8</v>
      </c>
      <c r="F2225" s="3" t="str">
        <f>CLEAN("FAUST LAKE ROAD TO USH 8")</f>
        <v>FAUST LAKE ROAD TO USH 8</v>
      </c>
      <c r="G2225" s="3" t="str">
        <f>CLEAN("DESIGN/FULL PSE/RESURFACE")</f>
        <v>DESIGN/FULL PSE/RESURFACE</v>
      </c>
      <c r="H2225" s="2" t="str">
        <f>CLEAN("CTH P")</f>
        <v>CTH P</v>
      </c>
      <c r="I2225" s="2" t="str">
        <f>CLEAN("206")</f>
        <v>206</v>
      </c>
    </row>
    <row r="2226" spans="1:9" x14ac:dyDescent="0.35">
      <c r="A2226" s="2" t="str">
        <f t="shared" si="344"/>
        <v>ONEIDA</v>
      </c>
      <c r="B2226" s="2" t="str">
        <f t="shared" si="345"/>
        <v>ONEIDA COUNTY</v>
      </c>
      <c r="C2226" s="2" t="s">
        <v>964</v>
      </c>
      <c r="D2226" s="2" t="str">
        <f>CLEAN("9877-00-72")</f>
        <v>9877-00-72</v>
      </c>
      <c r="E2226" s="3" t="str">
        <f>CLEAN("RHINELANDER - USH 8")</f>
        <v>RHINELANDER - USH 8</v>
      </c>
      <c r="F2226" s="3" t="str">
        <f>CLEAN("EISENHOWER PARKWAY TO FAUST LAKE RD")</f>
        <v>EISENHOWER PARKWAY TO FAUST LAKE RD</v>
      </c>
      <c r="G2226" s="3" t="str">
        <f>CLEAN("CONST/RESURFACE")</f>
        <v>CONST/RESURFACE</v>
      </c>
      <c r="H2226" s="2" t="str">
        <f>CLEAN("CTH P")</f>
        <v>CTH P</v>
      </c>
      <c r="I2226" s="2" t="str">
        <f>CLEAN("206")</f>
        <v>206</v>
      </c>
    </row>
    <row r="2227" spans="1:9" x14ac:dyDescent="0.35">
      <c r="A2227" s="2" t="str">
        <f>CLEAN("BROWN")</f>
        <v>BROWN</v>
      </c>
      <c r="B2227" s="2" t="str">
        <f>CLEAN("ONEIDA NATION")</f>
        <v>ONEIDA NATION</v>
      </c>
      <c r="C2227" s="2" t="s">
        <v>147</v>
      </c>
      <c r="D2227" s="2" t="str">
        <f>CLEAN("1210-18-71")</f>
        <v>1210-18-71</v>
      </c>
      <c r="E2227" s="3" t="str">
        <f>CLEAN("ONEIDA - GREEN BAY")</f>
        <v>ONEIDA - GREEN BAY</v>
      </c>
      <c r="F2227" s="3" t="str">
        <f>CLEAN("UNNAMED CREEK  C-05-0156")</f>
        <v>UNNAMED CREEK  C-05-0156</v>
      </c>
      <c r="G2227" s="3" t="str">
        <f>CLEAN("CONST OPS/BRRPL")</f>
        <v>CONST OPS/BRRPL</v>
      </c>
      <c r="H2227" s="2" t="str">
        <f>CLEAN("STH 172")</f>
        <v>STH 172</v>
      </c>
      <c r="I2227" s="2" t="str">
        <f>CLEAN("303")</f>
        <v>303</v>
      </c>
    </row>
    <row r="2228" spans="1:9" x14ac:dyDescent="0.35">
      <c r="A2228" s="2" t="str">
        <f t="shared" ref="A2228:A2260" si="346">CLEAN("OUTAGAMIE")</f>
        <v>OUTAGAMIE</v>
      </c>
      <c r="B2228" s="2" t="str">
        <f t="shared" ref="B2228:B2260" si="347">CLEAN("OUTAGAMIE COUNTY")</f>
        <v>OUTAGAMIE COUNTY</v>
      </c>
      <c r="C2228" s="2" t="s">
        <v>2</v>
      </c>
      <c r="D2228" s="2" t="str">
        <f>CLEAN("6527-03-01")</f>
        <v>6527-03-01</v>
      </c>
      <c r="E2228" s="3" t="str">
        <f>CLEAN("OUTAGAMIE CO - GULFSTREAM AEROSPACE")</f>
        <v>OUTAGAMIE CO - GULFSTREAM AEROSPACE</v>
      </c>
      <c r="F2228" s="3" t="str">
        <f>CLEAN("CTH CB AND ATLANTIS DR INTERSECTION")</f>
        <v>CTH CB AND ATLANTIS DR INTERSECTION</v>
      </c>
      <c r="G2228" s="3" t="str">
        <f>CLEAN("--")</f>
        <v>--</v>
      </c>
      <c r="H2228" s="2" t="str">
        <f>CLEAN("NON HWY")</f>
        <v>NON HWY</v>
      </c>
      <c r="I2228" s="2" t="str">
        <f>CLEAN("209")</f>
        <v>209</v>
      </c>
    </row>
    <row r="2229" spans="1:9" x14ac:dyDescent="0.35">
      <c r="A2229" s="2" t="str">
        <f t="shared" si="346"/>
        <v>OUTAGAMIE</v>
      </c>
      <c r="B2229" s="2" t="str">
        <f t="shared" si="347"/>
        <v>OUTAGAMIE COUNTY</v>
      </c>
      <c r="C2229" s="2" t="s">
        <v>862</v>
      </c>
      <c r="D2229" s="2" t="str">
        <f>CLEAN("1130-64-72")</f>
        <v>1130-64-72</v>
      </c>
      <c r="E2229" s="3" t="str">
        <f t="shared" ref="E2229:E2247" si="348">CLEAN("APPLETON - DE PERE")</f>
        <v>APPLETON - DE PERE</v>
      </c>
      <c r="F2229" s="3" t="str">
        <f>CLEAN("I-41 MAINLINE  RR BRIDGE-LYNNDALE")</f>
        <v>I-41 MAINLINE  RR BRIDGE-LYNNDALE</v>
      </c>
      <c r="G2229" s="3" t="str">
        <f>CLEAN("CONST/RECSTE RR BRIDGE-LYNNDALE")</f>
        <v>CONST/RECSTE RR BRIDGE-LYNNDALE</v>
      </c>
      <c r="H2229" s="2" t="str">
        <f>CLEAN("IH  041")</f>
        <v>IH  041</v>
      </c>
      <c r="I2229" s="2" t="str">
        <f t="shared" ref="I2229:I2247" si="349">CLEAN("302")</f>
        <v>302</v>
      </c>
    </row>
    <row r="2230" spans="1:9" x14ac:dyDescent="0.35">
      <c r="A2230" s="2" t="str">
        <f t="shared" si="346"/>
        <v>OUTAGAMIE</v>
      </c>
      <c r="B2230" s="2" t="str">
        <f t="shared" si="347"/>
        <v>OUTAGAMIE COUNTY</v>
      </c>
      <c r="C2230" s="2" t="s">
        <v>856</v>
      </c>
      <c r="D2230" s="2" t="str">
        <f>CLEAN("1130-64-73")</f>
        <v>1130-64-73</v>
      </c>
      <c r="E2230" s="3" t="str">
        <f t="shared" si="348"/>
        <v>APPLETON - DE PERE</v>
      </c>
      <c r="F2230" s="3" t="str">
        <f>CLEAN("I-41 MAINLINE  LYNNDALE-MEADE")</f>
        <v>I-41 MAINLINE  LYNNDALE-MEADE</v>
      </c>
      <c r="G2230" s="3" t="str">
        <f>CLEAN("CONST/RECSTE MNLINE LYNNDALE-MEADE")</f>
        <v>CONST/RECSTE MNLINE LYNNDALE-MEADE</v>
      </c>
      <c r="H2230" s="2" t="str">
        <f>CLEAN("IH  041")</f>
        <v>IH  041</v>
      </c>
      <c r="I2230" s="2" t="str">
        <f t="shared" si="349"/>
        <v>302</v>
      </c>
    </row>
    <row r="2231" spans="1:9" x14ac:dyDescent="0.35">
      <c r="A2231" s="2" t="str">
        <f t="shared" si="346"/>
        <v>OUTAGAMIE</v>
      </c>
      <c r="B2231" s="2" t="str">
        <f t="shared" si="347"/>
        <v>OUTAGAMIE COUNTY</v>
      </c>
      <c r="C2231" s="2" t="s">
        <v>865</v>
      </c>
      <c r="D2231" s="2" t="str">
        <f>CLEAN("1130-64-76")</f>
        <v>1130-64-76</v>
      </c>
      <c r="E2231" s="3" t="str">
        <f t="shared" si="348"/>
        <v>APPLETON - DE PERE</v>
      </c>
      <c r="F2231" s="3" t="str">
        <f>CLEAN("NORTHLAND/STH 15 INTCHG B440315/16")</f>
        <v>NORTHLAND/STH 15 INTCHG B440315/16</v>
      </c>
      <c r="G2231" s="3" t="str">
        <f>CLEAN("CONST/RECSTE STH 15 INTCHG")</f>
        <v>CONST/RECSTE STH 15 INTCHG</v>
      </c>
      <c r="H2231" s="2" t="str">
        <f>CLEAN("IH  041")</f>
        <v>IH  041</v>
      </c>
      <c r="I2231" s="2" t="str">
        <f t="shared" si="349"/>
        <v>302</v>
      </c>
    </row>
    <row r="2232" spans="1:9" x14ac:dyDescent="0.35">
      <c r="A2232" s="2" t="str">
        <f t="shared" si="346"/>
        <v>OUTAGAMIE</v>
      </c>
      <c r="B2232" s="2" t="str">
        <f t="shared" si="347"/>
        <v>OUTAGAMIE COUNTY</v>
      </c>
      <c r="C2232" s="2" t="s">
        <v>867</v>
      </c>
      <c r="D2232" s="2" t="str">
        <f>CLEAN("1130-64-77")</f>
        <v>1130-64-77</v>
      </c>
      <c r="E2232" s="3" t="str">
        <f t="shared" si="348"/>
        <v>APPLETON - DE PERE</v>
      </c>
      <c r="F2232" s="3" t="str">
        <f>CLEAN("RICHMOND ST (WIS 47) INTCHG")</f>
        <v>RICHMOND ST (WIS 47) INTCHG</v>
      </c>
      <c r="G2232" s="3" t="str">
        <f>CLEAN("CONST/RECSTE STH 47 INTCHG")</f>
        <v>CONST/RECSTE STH 47 INTCHG</v>
      </c>
      <c r="H2232" s="2" t="str">
        <f>CLEAN("STH 047")</f>
        <v>STH 047</v>
      </c>
      <c r="I2232" s="2" t="str">
        <f t="shared" si="349"/>
        <v>302</v>
      </c>
    </row>
    <row r="2233" spans="1:9" x14ac:dyDescent="0.35">
      <c r="A2233" s="2" t="str">
        <f t="shared" si="346"/>
        <v>OUTAGAMIE</v>
      </c>
      <c r="B2233" s="2" t="str">
        <f t="shared" si="347"/>
        <v>OUTAGAMIE COUNTY</v>
      </c>
      <c r="C2233" s="2" t="s">
        <v>851</v>
      </c>
      <c r="D2233" s="2" t="str">
        <f>CLEAN("1130-65-71")</f>
        <v>1130-65-71</v>
      </c>
      <c r="E2233" s="3" t="str">
        <f t="shared" si="348"/>
        <v>APPLETON - DE PERE</v>
      </c>
      <c r="F2233" s="3" t="str">
        <f>CLEAN("I-41 MAINLINE  MEADE ST-BALLARD RD")</f>
        <v>I-41 MAINLINE  MEADE ST-BALLARD RD</v>
      </c>
      <c r="G2233" s="3" t="str">
        <f>CLEAN("CONST/RECSTE MAINLINE MEADE-BALLARD")</f>
        <v>CONST/RECSTE MAINLINE MEADE-BALLARD</v>
      </c>
      <c r="H2233" s="2" t="str">
        <f>CLEAN("IH  041")</f>
        <v>IH  041</v>
      </c>
      <c r="I2233" s="2" t="str">
        <f t="shared" si="349"/>
        <v>302</v>
      </c>
    </row>
    <row r="2234" spans="1:9" x14ac:dyDescent="0.35">
      <c r="A2234" s="2" t="str">
        <f t="shared" si="346"/>
        <v>OUTAGAMIE</v>
      </c>
      <c r="B2234" s="2" t="str">
        <f t="shared" si="347"/>
        <v>OUTAGAMIE COUNTY</v>
      </c>
      <c r="C2234" s="2" t="s">
        <v>857</v>
      </c>
      <c r="D2234" s="2" t="str">
        <f>CLEAN("1130-65-74")</f>
        <v>1130-65-74</v>
      </c>
      <c r="E2234" s="3" t="str">
        <f t="shared" si="348"/>
        <v>APPLETON - DE PERE</v>
      </c>
      <c r="F2234" s="3" t="str">
        <f>CLEAN("STH 441 MAINLINE  NORTHLAND - I-41")</f>
        <v>STH 441 MAINLINE  NORTHLAND - I-41</v>
      </c>
      <c r="G2234" s="3" t="str">
        <f>CLEAN("CONST/RECSTE MNLINE NORTHLAND-I-41")</f>
        <v>CONST/RECSTE MNLINE NORTHLAND-I-41</v>
      </c>
      <c r="H2234" s="2" t="str">
        <f>CLEAN("STH 441")</f>
        <v>STH 441</v>
      </c>
      <c r="I2234" s="2" t="str">
        <f t="shared" si="349"/>
        <v>302</v>
      </c>
    </row>
    <row r="2235" spans="1:9" x14ac:dyDescent="0.35">
      <c r="A2235" s="2" t="str">
        <f t="shared" si="346"/>
        <v>OUTAGAMIE</v>
      </c>
      <c r="B2235" s="2" t="str">
        <f t="shared" si="347"/>
        <v>OUTAGAMIE COUNTY</v>
      </c>
      <c r="C2235" s="2" t="s">
        <v>289</v>
      </c>
      <c r="D2235" s="2" t="str">
        <f>CLEAN("1130-65-76")</f>
        <v>1130-65-76</v>
      </c>
      <c r="E2235" s="3" t="str">
        <f t="shared" si="348"/>
        <v>APPLETON - DE PERE</v>
      </c>
      <c r="F2235" s="3" t="str">
        <f>CLEAN("BALLARD RD (CTH E) INTCHG")</f>
        <v>BALLARD RD (CTH E) INTCHG</v>
      </c>
      <c r="G2235" s="3" t="str">
        <f>CLEAN("CONST OPS/RECSTE CTH E INTCHG")</f>
        <v>CONST OPS/RECSTE CTH E INTCHG</v>
      </c>
      <c r="H2235" s="2" t="str">
        <f>CLEAN("IH  041")</f>
        <v>IH  041</v>
      </c>
      <c r="I2235" s="2" t="str">
        <f t="shared" si="349"/>
        <v>302</v>
      </c>
    </row>
    <row r="2236" spans="1:9" x14ac:dyDescent="0.35">
      <c r="A2236" s="2" t="str">
        <f t="shared" si="346"/>
        <v>OUTAGAMIE</v>
      </c>
      <c r="B2236" s="2" t="str">
        <f t="shared" si="347"/>
        <v>OUTAGAMIE COUNTY</v>
      </c>
      <c r="C2236" s="2" t="s">
        <v>866</v>
      </c>
      <c r="D2236" s="2" t="str">
        <f>CLEAN("1130-65-78")</f>
        <v>1130-65-78</v>
      </c>
      <c r="E2236" s="3" t="str">
        <f t="shared" si="348"/>
        <v>APPLETON - DE PERE</v>
      </c>
      <c r="F2236" s="3" t="str">
        <f>CLEAN("STH 441 INTCHG FILL &amp; STRUCTURES")</f>
        <v>STH 441 INTCHG FILL &amp; STRUCTURES</v>
      </c>
      <c r="G2236" s="3" t="str">
        <f>CLEAN("CONST/RECSTE STH 441 INTCHG")</f>
        <v>CONST/RECSTE STH 441 INTCHG</v>
      </c>
      <c r="H2236" s="2" t="str">
        <f>CLEAN("STH 441")</f>
        <v>STH 441</v>
      </c>
      <c r="I2236" s="2" t="str">
        <f t="shared" si="349"/>
        <v>302</v>
      </c>
    </row>
    <row r="2237" spans="1:9" x14ac:dyDescent="0.35">
      <c r="A2237" s="2" t="str">
        <f t="shared" si="346"/>
        <v>OUTAGAMIE</v>
      </c>
      <c r="B2237" s="2" t="str">
        <f t="shared" si="347"/>
        <v>OUTAGAMIE COUNTY</v>
      </c>
      <c r="C2237" s="2" t="s">
        <v>847</v>
      </c>
      <c r="D2237" s="2" t="str">
        <f>CLEAN("1130-65-81")</f>
        <v>1130-65-81</v>
      </c>
      <c r="E2237" s="3" t="str">
        <f t="shared" si="348"/>
        <v>APPLETON - DE PERE</v>
      </c>
      <c r="F2237" s="3" t="str">
        <f>CLEAN("FRENCH RD OVERPASS")</f>
        <v>FRENCH RD OVERPASS</v>
      </c>
      <c r="G2237" s="3" t="str">
        <f>CLEAN("CONST/RECSTE FRENCH RD OVERPASS")</f>
        <v>CONST/RECSTE FRENCH RD OVERPASS</v>
      </c>
      <c r="H2237" s="2" t="str">
        <f>CLEAN("IH  041")</f>
        <v>IH  041</v>
      </c>
      <c r="I2237" s="2" t="str">
        <f t="shared" si="349"/>
        <v>302</v>
      </c>
    </row>
    <row r="2238" spans="1:9" x14ac:dyDescent="0.35">
      <c r="A2238" s="2" t="str">
        <f t="shared" si="346"/>
        <v>OUTAGAMIE</v>
      </c>
      <c r="B2238" s="2" t="str">
        <f t="shared" si="347"/>
        <v>OUTAGAMIE COUNTY</v>
      </c>
      <c r="C2238" s="2" t="s">
        <v>638</v>
      </c>
      <c r="D2238" s="2" t="str">
        <f>CLEAN("1130-65-88")</f>
        <v>1130-65-88</v>
      </c>
      <c r="E2238" s="3" t="str">
        <f t="shared" si="348"/>
        <v>APPLETON - DE PERE</v>
      </c>
      <c r="F2238" s="3" t="str">
        <f>CLEAN("SALT STORAGE FACILITY")</f>
        <v>SALT STORAGE FACILITY</v>
      </c>
      <c r="G2238" s="3" t="str">
        <f>CLEAN("CONST/MISC SALT STORAGE FACILITY")</f>
        <v>CONST/MISC SALT STORAGE FACILITY</v>
      </c>
      <c r="H2238" s="2" t="str">
        <f>CLEAN("NON HWY")</f>
        <v>NON HWY</v>
      </c>
      <c r="I2238" s="2" t="str">
        <f t="shared" si="349"/>
        <v>302</v>
      </c>
    </row>
    <row r="2239" spans="1:9" x14ac:dyDescent="0.35">
      <c r="A2239" s="2" t="str">
        <f t="shared" si="346"/>
        <v>OUTAGAMIE</v>
      </c>
      <c r="B2239" s="2" t="str">
        <f t="shared" si="347"/>
        <v>OUTAGAMIE COUNTY</v>
      </c>
      <c r="C2239" s="2" t="s">
        <v>850</v>
      </c>
      <c r="D2239" s="2" t="str">
        <f>CLEAN("1130-66-71")</f>
        <v>1130-66-71</v>
      </c>
      <c r="E2239" s="3" t="str">
        <f t="shared" si="348"/>
        <v>APPLETON - DE PERE</v>
      </c>
      <c r="F2239" s="3" t="str">
        <f>CLEAN("I-41 MAINLINE  HOLLAND-CTH N")</f>
        <v>I-41 MAINLINE  HOLLAND-CTH N</v>
      </c>
      <c r="G2239" s="3" t="str">
        <f>CLEAN("CONST/RECSTE MAINLINE HOLLAND-CTH N")</f>
        <v>CONST/RECSTE MAINLINE HOLLAND-CTH N</v>
      </c>
      <c r="H2239" s="2" t="str">
        <f>CLEAN("IH  041")</f>
        <v>IH  041</v>
      </c>
      <c r="I2239" s="2" t="str">
        <f t="shared" si="349"/>
        <v>302</v>
      </c>
    </row>
    <row r="2240" spans="1:9" x14ac:dyDescent="0.35">
      <c r="A2240" s="2" t="str">
        <f t="shared" si="346"/>
        <v>OUTAGAMIE</v>
      </c>
      <c r="B2240" s="2" t="str">
        <f t="shared" si="347"/>
        <v>OUTAGAMIE COUNTY</v>
      </c>
      <c r="C2240" s="2" t="s">
        <v>849</v>
      </c>
      <c r="D2240" s="2" t="str">
        <f>CLEAN("1130-66-72")</f>
        <v>1130-66-72</v>
      </c>
      <c r="E2240" s="3" t="str">
        <f t="shared" si="348"/>
        <v>APPLETON - DE PERE</v>
      </c>
      <c r="F2240" s="3" t="str">
        <f>CLEAN("I-41 MAINLINE  CTH N - CTH JJ")</f>
        <v>I-41 MAINLINE  CTH N - CTH JJ</v>
      </c>
      <c r="G2240" s="3" t="str">
        <f>CLEAN("CONST/RECSTE MAINLINE  CTH N-CTH JJ")</f>
        <v>CONST/RECSTE MAINLINE  CTH N-CTH JJ</v>
      </c>
      <c r="H2240" s="2" t="str">
        <f>CLEAN("IH  041")</f>
        <v>IH  041</v>
      </c>
      <c r="I2240" s="2" t="str">
        <f t="shared" si="349"/>
        <v>302</v>
      </c>
    </row>
    <row r="2241" spans="1:9" x14ac:dyDescent="0.35">
      <c r="A2241" s="2" t="str">
        <f t="shared" si="346"/>
        <v>OUTAGAMIE</v>
      </c>
      <c r="B2241" s="2" t="str">
        <f t="shared" si="347"/>
        <v>OUTAGAMIE COUNTY</v>
      </c>
      <c r="C2241" s="2" t="s">
        <v>848</v>
      </c>
      <c r="D2241" s="2" t="str">
        <f>CLEAN("1130-66-76")</f>
        <v>1130-66-76</v>
      </c>
      <c r="E2241" s="3" t="str">
        <f t="shared" si="348"/>
        <v>APPLETON - DE PERE</v>
      </c>
      <c r="F2241" s="3" t="str">
        <f>CLEAN("CTH N INTCHG")</f>
        <v>CTH N INTCHG</v>
      </c>
      <c r="G2241" s="3" t="str">
        <f>CLEAN("CONST/RECSTE IH 41/CTH N INTCHG")</f>
        <v>CONST/RECSTE IH 41/CTH N INTCHG</v>
      </c>
      <c r="H2241" s="2" t="str">
        <f>CLEAN("CTH N")</f>
        <v>CTH N</v>
      </c>
      <c r="I2241" s="2" t="str">
        <f t="shared" si="349"/>
        <v>302</v>
      </c>
    </row>
    <row r="2242" spans="1:9" x14ac:dyDescent="0.35">
      <c r="A2242" s="2" t="str">
        <f t="shared" si="346"/>
        <v>OUTAGAMIE</v>
      </c>
      <c r="B2242" s="2" t="str">
        <f t="shared" si="347"/>
        <v>OUTAGAMIE COUNTY</v>
      </c>
      <c r="C2242" s="2" t="s">
        <v>846</v>
      </c>
      <c r="D2242" s="2" t="str">
        <f>CLEAN("1130-66-78")</f>
        <v>1130-66-78</v>
      </c>
      <c r="E2242" s="3" t="str">
        <f t="shared" si="348"/>
        <v>APPLETON - DE PERE</v>
      </c>
      <c r="F2242" s="3" t="str">
        <f>CLEAN("CTH J INTERCHANGE")</f>
        <v>CTH J INTERCHANGE</v>
      </c>
      <c r="G2242" s="3" t="str">
        <f>CLEAN("CONST/RECSTE CTH J INTERCHANGE")</f>
        <v>CONST/RECSTE CTH J INTERCHANGE</v>
      </c>
      <c r="H2242" s="2" t="str">
        <f t="shared" ref="H2242:H2247" si="350">CLEAN("IH  041")</f>
        <v>IH  041</v>
      </c>
      <c r="I2242" s="2" t="str">
        <f t="shared" si="349"/>
        <v>302</v>
      </c>
    </row>
    <row r="2243" spans="1:9" x14ac:dyDescent="0.35">
      <c r="A2243" s="2" t="str">
        <f t="shared" si="346"/>
        <v>OUTAGAMIE</v>
      </c>
      <c r="B2243" s="2" t="str">
        <f t="shared" si="347"/>
        <v>OUTAGAMIE COUNTY</v>
      </c>
      <c r="C2243" s="2" t="s">
        <v>860</v>
      </c>
      <c r="D2243" s="2" t="str">
        <f>CLEAN("1130-66-82")</f>
        <v>1130-66-82</v>
      </c>
      <c r="E2243" s="3" t="str">
        <f t="shared" si="348"/>
        <v>APPLETON - DE PERE</v>
      </c>
      <c r="F2243" s="3" t="str">
        <f>CLEAN("BUCHANAN ST OVERPASS")</f>
        <v>BUCHANAN ST OVERPASS</v>
      </c>
      <c r="G2243" s="3" t="str">
        <f>CLEAN("CONST/RECSTE OVERPASS B440332")</f>
        <v>CONST/RECSTE OVERPASS B440332</v>
      </c>
      <c r="H2243" s="2" t="str">
        <f t="shared" si="350"/>
        <v>IH  041</v>
      </c>
      <c r="I2243" s="2" t="str">
        <f t="shared" si="349"/>
        <v>302</v>
      </c>
    </row>
    <row r="2244" spans="1:9" x14ac:dyDescent="0.35">
      <c r="A2244" s="2" t="str">
        <f t="shared" si="346"/>
        <v>OUTAGAMIE</v>
      </c>
      <c r="B2244" s="2" t="str">
        <f t="shared" si="347"/>
        <v>OUTAGAMIE COUNTY</v>
      </c>
      <c r="C2244" s="2" t="s">
        <v>861</v>
      </c>
      <c r="D2244" s="2" t="str">
        <f>CLEAN("1130-66-83")</f>
        <v>1130-66-83</v>
      </c>
      <c r="E2244" s="3" t="str">
        <f t="shared" si="348"/>
        <v>APPLETON - DE PERE</v>
      </c>
      <c r="F2244" s="3" t="str">
        <f>CLEAN("ROSE HILL RD/CTH CC OVERPASS")</f>
        <v>ROSE HILL RD/CTH CC OVERPASS</v>
      </c>
      <c r="G2244" s="3" t="str">
        <f>CLEAN("CONST/RECSTE OVERPASS B440333")</f>
        <v>CONST/RECSTE OVERPASS B440333</v>
      </c>
      <c r="H2244" s="2" t="str">
        <f t="shared" si="350"/>
        <v>IH  041</v>
      </c>
      <c r="I2244" s="2" t="str">
        <f t="shared" si="349"/>
        <v>302</v>
      </c>
    </row>
    <row r="2245" spans="1:9" x14ac:dyDescent="0.35">
      <c r="A2245" s="2" t="str">
        <f t="shared" si="346"/>
        <v>OUTAGAMIE</v>
      </c>
      <c r="B2245" s="2" t="str">
        <f t="shared" si="347"/>
        <v>OUTAGAMIE COUNTY</v>
      </c>
      <c r="C2245" s="2" t="s">
        <v>855</v>
      </c>
      <c r="D2245" s="2" t="str">
        <f>CLEAN("1130-67-72")</f>
        <v>1130-67-72</v>
      </c>
      <c r="E2245" s="3" t="str">
        <f t="shared" si="348"/>
        <v>APPLETON - DE PERE</v>
      </c>
      <c r="F2245" s="3" t="str">
        <f>CLEAN("I-41 MAINLINE  CTH JJ - MINERS WAY")</f>
        <v>I-41 MAINLINE  CTH JJ - MINERS WAY</v>
      </c>
      <c r="G2245" s="3" t="str">
        <f>CLEAN("CONST/RECSTE MNLINE CTH JJ - MINERS")</f>
        <v>CONST/RECSTE MNLINE CTH JJ - MINERS</v>
      </c>
      <c r="H2245" s="2" t="str">
        <f t="shared" si="350"/>
        <v>IH  041</v>
      </c>
      <c r="I2245" s="2" t="str">
        <f t="shared" si="349"/>
        <v>302</v>
      </c>
    </row>
    <row r="2246" spans="1:9" x14ac:dyDescent="0.35">
      <c r="A2246" s="2" t="str">
        <f t="shared" si="346"/>
        <v>OUTAGAMIE</v>
      </c>
      <c r="B2246" s="2" t="str">
        <f t="shared" si="347"/>
        <v>OUTAGAMIE COUNTY</v>
      </c>
      <c r="C2246" s="2" t="s">
        <v>291</v>
      </c>
      <c r="D2246" s="2" t="str">
        <f>CLEAN("1130-67-76")</f>
        <v>1130-67-76</v>
      </c>
      <c r="E2246" s="3" t="str">
        <f t="shared" si="348"/>
        <v>APPLETON - DE PERE</v>
      </c>
      <c r="F2246" s="3" t="str">
        <f>CLEAN("S COUNTY LINE RD/CTH U INTCHG")</f>
        <v>S COUNTY LINE RD/CTH U INTCHG</v>
      </c>
      <c r="G2246" s="3" t="str">
        <f>CLEAN("CONST OPS/RECSTE CTH U INTCHG")</f>
        <v>CONST OPS/RECSTE CTH U INTCHG</v>
      </c>
      <c r="H2246" s="2" t="str">
        <f t="shared" si="350"/>
        <v>IH  041</v>
      </c>
      <c r="I2246" s="2" t="str">
        <f t="shared" si="349"/>
        <v>302</v>
      </c>
    </row>
    <row r="2247" spans="1:9" x14ac:dyDescent="0.35">
      <c r="A2247" s="2" t="str">
        <f t="shared" si="346"/>
        <v>OUTAGAMIE</v>
      </c>
      <c r="B2247" s="2" t="str">
        <f t="shared" si="347"/>
        <v>OUTAGAMIE COUNTY</v>
      </c>
      <c r="C2247" s="2" t="s">
        <v>290</v>
      </c>
      <c r="D2247" s="2" t="str">
        <f>CLEAN("1130-67-86")</f>
        <v>1130-67-86</v>
      </c>
      <c r="E2247" s="3" t="str">
        <f t="shared" si="348"/>
        <v>APPLETON - DE PERE</v>
      </c>
      <c r="F2247" s="3" t="str">
        <f>CLEAN("CTH U FRONTAGE ROADS")</f>
        <v>CTH U FRONTAGE ROADS</v>
      </c>
      <c r="G2247" s="3" t="str">
        <f>CLEAN("CONST OPS/RECSTE CTH U FRONTAGE RDS")</f>
        <v>CONST OPS/RECSTE CTH U FRONTAGE RDS</v>
      </c>
      <c r="H2247" s="2" t="str">
        <f t="shared" si="350"/>
        <v>IH  041</v>
      </c>
      <c r="I2247" s="2" t="str">
        <f t="shared" si="349"/>
        <v>302</v>
      </c>
    </row>
    <row r="2248" spans="1:9" x14ac:dyDescent="0.35">
      <c r="A2248" s="2" t="str">
        <f t="shared" si="346"/>
        <v>OUTAGAMIE</v>
      </c>
      <c r="B2248" s="2" t="str">
        <f t="shared" si="347"/>
        <v>OUTAGAMIE COUNTY</v>
      </c>
      <c r="C2248" s="2" t="s">
        <v>180</v>
      </c>
      <c r="D2248" s="2" t="str">
        <f>CLEAN("4160-06-71")</f>
        <v>4160-06-71</v>
      </c>
      <c r="E2248" s="3" t="str">
        <f>CLEAN("V KIMBERLY - CTH N")</f>
        <v>V KIMBERLY - CTH N</v>
      </c>
      <c r="F2248" s="3" t="str">
        <f>CLEAN("S RAILROAD ST INTERSECTION")</f>
        <v>S RAILROAD ST INTERSECTION</v>
      </c>
      <c r="G2248" s="3" t="str">
        <f>CLEAN("CONST OPS/MISC HSIP")</f>
        <v>CONST OPS/MISC HSIP</v>
      </c>
      <c r="H2248" s="2" t="str">
        <f>CLEAN("CTH CE")</f>
        <v>CTH CE</v>
      </c>
      <c r="I2248" s="2" t="str">
        <f>CLEAN("206")</f>
        <v>206</v>
      </c>
    </row>
    <row r="2249" spans="1:9" x14ac:dyDescent="0.35">
      <c r="A2249" s="2" t="str">
        <f t="shared" si="346"/>
        <v>OUTAGAMIE</v>
      </c>
      <c r="B2249" s="2" t="str">
        <f t="shared" si="347"/>
        <v>OUTAGAMIE COUNTY</v>
      </c>
      <c r="C2249" s="2" t="s">
        <v>2382</v>
      </c>
      <c r="D2249" s="2" t="str">
        <f>CLEAN("4160-07-00")</f>
        <v>4160-07-00</v>
      </c>
      <c r="E2249" s="3" t="str">
        <f>CLEAN("C KAUKAUNA  CTH CE")</f>
        <v>C KAUKAUNA  CTH CE</v>
      </c>
      <c r="F2249" s="3" t="str">
        <f>CLEAN("FIELDCREST DRIVE INTERSECTION")</f>
        <v>FIELDCREST DRIVE INTERSECTION</v>
      </c>
      <c r="G2249" s="3" t="str">
        <f>CLEAN("DSGN/FULL PSE/MISC")</f>
        <v>DSGN/FULL PSE/MISC</v>
      </c>
      <c r="H2249" s="2" t="str">
        <f>CLEAN("CTH CE")</f>
        <v>CTH CE</v>
      </c>
      <c r="I2249" s="2" t="str">
        <f>CLEAN("206")</f>
        <v>206</v>
      </c>
    </row>
    <row r="2250" spans="1:9" x14ac:dyDescent="0.35">
      <c r="A2250" s="2" t="str">
        <f t="shared" si="346"/>
        <v>OUTAGAMIE</v>
      </c>
      <c r="B2250" s="2" t="str">
        <f t="shared" si="347"/>
        <v>OUTAGAMIE COUNTY</v>
      </c>
      <c r="C2250" s="2" t="s">
        <v>2454</v>
      </c>
      <c r="D2250" s="2" t="str">
        <f>CLEAN("4494-07-00")</f>
        <v>4494-07-00</v>
      </c>
      <c r="E2250" s="3" t="str">
        <f>CLEAN("BUCHANAN - HOLLAND")</f>
        <v>BUCHANAN - HOLLAND</v>
      </c>
      <c r="F2250" s="3" t="str">
        <f>CLEAN("KANKAPOT CREEK BRIDGE")</f>
        <v>KANKAPOT CREEK BRIDGE</v>
      </c>
      <c r="G2250" s="3" t="str">
        <f>CLEAN("DSN/FULL PSE/BRRPL B440003")</f>
        <v>DSN/FULL PSE/BRRPL B440003</v>
      </c>
      <c r="H2250" s="2" t="str">
        <f>CLEAN("CTH KK")</f>
        <v>CTH KK</v>
      </c>
      <c r="I2250" s="2" t="str">
        <f>CLEAN("205")</f>
        <v>205</v>
      </c>
    </row>
    <row r="2251" spans="1:9" x14ac:dyDescent="0.35">
      <c r="A2251" s="2" t="str">
        <f t="shared" si="346"/>
        <v>OUTAGAMIE</v>
      </c>
      <c r="B2251" s="2" t="str">
        <f t="shared" si="347"/>
        <v>OUTAGAMIE COUNTY</v>
      </c>
      <c r="C2251" s="2" t="s">
        <v>152</v>
      </c>
      <c r="D2251" s="2" t="str">
        <f>CLEAN("4494-07-71")</f>
        <v>4494-07-71</v>
      </c>
      <c r="E2251" s="3" t="str">
        <f>CLEAN("BUCHANAN - HOLLAND")</f>
        <v>BUCHANAN - HOLLAND</v>
      </c>
      <c r="F2251" s="3" t="str">
        <f>CLEAN("KANKAPOT CREEK BRIDGE")</f>
        <v>KANKAPOT CREEK BRIDGE</v>
      </c>
      <c r="G2251" s="3" t="str">
        <f>CLEAN("CONST OPS/BRRPL B440500")</f>
        <v>CONST OPS/BRRPL B440500</v>
      </c>
      <c r="H2251" s="2" t="str">
        <f>CLEAN("CTH KK")</f>
        <v>CTH KK</v>
      </c>
      <c r="I2251" s="2" t="str">
        <f>CLEAN("205")</f>
        <v>205</v>
      </c>
    </row>
    <row r="2252" spans="1:9" x14ac:dyDescent="0.35">
      <c r="A2252" s="2" t="str">
        <f t="shared" si="346"/>
        <v>OUTAGAMIE</v>
      </c>
      <c r="B2252" s="2" t="str">
        <f t="shared" si="347"/>
        <v>OUTAGAMIE COUNTY</v>
      </c>
      <c r="C2252" s="2" t="s">
        <v>2440</v>
      </c>
      <c r="D2252" s="2" t="str">
        <f>CLEAN("4676-04-00")</f>
        <v>4676-04-00</v>
      </c>
      <c r="E2252" s="3" t="str">
        <f>CLEAN("T BUCHANAN  CTH N")</f>
        <v>T BUCHANAN  CTH N</v>
      </c>
      <c r="F2252" s="3" t="str">
        <f>CLEAN("CTH KK TO CTH CE")</f>
        <v>CTH KK TO CTH CE</v>
      </c>
      <c r="G2252" s="3" t="str">
        <f>CLEAN("DSGN/RECST")</f>
        <v>DSGN/RECST</v>
      </c>
      <c r="H2252" s="2" t="str">
        <f>CLEAN("CTH N")</f>
        <v>CTH N</v>
      </c>
      <c r="I2252" s="2" t="str">
        <f>CLEAN("206")</f>
        <v>206</v>
      </c>
    </row>
    <row r="2253" spans="1:9" x14ac:dyDescent="0.35">
      <c r="A2253" s="2" t="str">
        <f t="shared" si="346"/>
        <v>OUTAGAMIE</v>
      </c>
      <c r="B2253" s="2" t="str">
        <f t="shared" si="347"/>
        <v>OUTAGAMIE COUNTY</v>
      </c>
      <c r="C2253" s="2" t="s">
        <v>272</v>
      </c>
      <c r="D2253" s="2" t="str">
        <f>CLEAN("4676-04-71")</f>
        <v>4676-04-71</v>
      </c>
      <c r="E2253" s="3" t="str">
        <f>CLEAN("T BUCHANAN  CTH N")</f>
        <v>T BUCHANAN  CTH N</v>
      </c>
      <c r="F2253" s="3" t="str">
        <f>CLEAN("CTH KK TO CTH CE")</f>
        <v>CTH KK TO CTH CE</v>
      </c>
      <c r="G2253" s="3" t="str">
        <f>CLEAN("CONST OPS/RECST")</f>
        <v>CONST OPS/RECST</v>
      </c>
      <c r="H2253" s="2" t="str">
        <f>CLEAN("CTH N")</f>
        <v>CTH N</v>
      </c>
      <c r="I2253" s="2" t="str">
        <f>CLEAN("206")</f>
        <v>206</v>
      </c>
    </row>
    <row r="2254" spans="1:9" x14ac:dyDescent="0.35">
      <c r="A2254" s="2" t="str">
        <f t="shared" si="346"/>
        <v>OUTAGAMIE</v>
      </c>
      <c r="B2254" s="2" t="str">
        <f t="shared" si="347"/>
        <v>OUTAGAMIE COUNTY</v>
      </c>
      <c r="C2254" s="2" t="s">
        <v>2441</v>
      </c>
      <c r="D2254" s="2" t="str">
        <f>CLEAN("4679-02-00")</f>
        <v>4679-02-00</v>
      </c>
      <c r="E2254" s="3" t="str">
        <f>CLEAN("BUCHANAN - EAST COUNTY LINE")</f>
        <v>BUCHANAN - EAST COUNTY LINE</v>
      </c>
      <c r="F2254" s="3" t="str">
        <f>CLEAN("KAVANAUGH ROAD TO OUTAGAMIE ROAD")</f>
        <v>KAVANAUGH ROAD TO OUTAGAMIE ROAD</v>
      </c>
      <c r="G2254" s="3" t="str">
        <f>CLEAN("DSGN/RECST")</f>
        <v>DSGN/RECST</v>
      </c>
      <c r="H2254" s="2" t="str">
        <f>CLEAN("CTH Z")</f>
        <v>CTH Z</v>
      </c>
      <c r="I2254" s="2" t="str">
        <f>CLEAN("206")</f>
        <v>206</v>
      </c>
    </row>
    <row r="2255" spans="1:9" x14ac:dyDescent="0.35">
      <c r="A2255" s="2" t="str">
        <f t="shared" si="346"/>
        <v>OUTAGAMIE</v>
      </c>
      <c r="B2255" s="2" t="str">
        <f t="shared" si="347"/>
        <v>OUTAGAMIE COUNTY</v>
      </c>
      <c r="C2255" s="2" t="s">
        <v>275</v>
      </c>
      <c r="D2255" s="2" t="str">
        <f>CLEAN("4679-02-71")</f>
        <v>4679-02-71</v>
      </c>
      <c r="E2255" s="3" t="str">
        <f>CLEAN("BUCHANAN - EAST COUNTY LINE")</f>
        <v>BUCHANAN - EAST COUNTY LINE</v>
      </c>
      <c r="F2255" s="3" t="str">
        <f>CLEAN("CTH ZZ TO OUTAGAMIE ROAD")</f>
        <v>CTH ZZ TO OUTAGAMIE ROAD</v>
      </c>
      <c r="G2255" s="3" t="str">
        <f>CLEAN("CONST OPS/RECST")</f>
        <v>CONST OPS/RECST</v>
      </c>
      <c r="H2255" s="2" t="str">
        <f>CLEAN("CTH Z")</f>
        <v>CTH Z</v>
      </c>
      <c r="I2255" s="2" t="str">
        <f>CLEAN("206")</f>
        <v>206</v>
      </c>
    </row>
    <row r="2256" spans="1:9" x14ac:dyDescent="0.35">
      <c r="A2256" s="2" t="str">
        <f t="shared" si="346"/>
        <v>OUTAGAMIE</v>
      </c>
      <c r="B2256" s="2" t="str">
        <f t="shared" si="347"/>
        <v>OUTAGAMIE COUNTY</v>
      </c>
      <c r="C2256" s="2" t="s">
        <v>2436</v>
      </c>
      <c r="D2256" s="2" t="str">
        <f>CLEAN("4990-04-00")</f>
        <v>4990-04-00</v>
      </c>
      <c r="E2256" s="3" t="str">
        <f>CLEAN("V LITTLE CHUTE  SIGNAL UPGRADES")</f>
        <v>V LITTLE CHUTE  SIGNAL UPGRADES</v>
      </c>
      <c r="F2256" s="3" t="str">
        <f>CLEAN("CTH N &amp; CTH OO INTERSECTIONS")</f>
        <v>CTH N &amp; CTH OO INTERSECTIONS</v>
      </c>
      <c r="G2256" s="3" t="str">
        <f>CLEAN("DSGN/MISC/CRP")</f>
        <v>DSGN/MISC/CRP</v>
      </c>
      <c r="H2256" s="2" t="str">
        <f>CLEAN("NON HWY")</f>
        <v>NON HWY</v>
      </c>
      <c r="I2256" s="2" t="str">
        <f>CLEAN("206")</f>
        <v>206</v>
      </c>
    </row>
    <row r="2257" spans="1:9" x14ac:dyDescent="0.35">
      <c r="A2257" s="2" t="str">
        <f t="shared" si="346"/>
        <v>OUTAGAMIE</v>
      </c>
      <c r="B2257" s="2" t="str">
        <f t="shared" si="347"/>
        <v>OUTAGAMIE COUNTY</v>
      </c>
      <c r="C2257" s="2" t="s">
        <v>2373</v>
      </c>
      <c r="D2257" s="2" t="str">
        <f>CLEAN("6003-00-00")</f>
        <v>6003-00-00</v>
      </c>
      <c r="E2257" s="3" t="str">
        <f>CLEAN("T KAUKAUNA  CTH U")</f>
        <v>T KAUKAUNA  CTH U</v>
      </c>
      <c r="F2257" s="3" t="str">
        <f>CLEAN("APPLE CREEK BRIDGE")</f>
        <v>APPLE CREEK BRIDGE</v>
      </c>
      <c r="G2257" s="3" t="str">
        <f>CLEAN("DSGN/FULL PSE/BRRPL/B-44-0051")</f>
        <v>DSGN/FULL PSE/BRRPL/B-44-0051</v>
      </c>
      <c r="H2257" s="2" t="str">
        <f>CLEAN("CTH U")</f>
        <v>CTH U</v>
      </c>
      <c r="I2257" s="2" t="str">
        <f>CLEAN("205")</f>
        <v>205</v>
      </c>
    </row>
    <row r="2258" spans="1:9" x14ac:dyDescent="0.35">
      <c r="A2258" s="2" t="str">
        <f t="shared" si="346"/>
        <v>OUTAGAMIE</v>
      </c>
      <c r="B2258" s="2" t="str">
        <f t="shared" si="347"/>
        <v>OUTAGAMIE COUNTY</v>
      </c>
      <c r="C2258" s="2" t="s">
        <v>2406</v>
      </c>
      <c r="D2258" s="2" t="str">
        <f>CLEAN("6004-04-00")</f>
        <v>6004-04-00</v>
      </c>
      <c r="E2258" s="3" t="str">
        <f>CLEAN("T CENTER  CTH S")</f>
        <v>T CENTER  CTH S</v>
      </c>
      <c r="F2258" s="3" t="str">
        <f>CLEAN("CTH EE INTERSECTION")</f>
        <v>CTH EE INTERSECTION</v>
      </c>
      <c r="G2258" s="3" t="str">
        <f>CLEAN("DSGN/FULL PSE/RECST")</f>
        <v>DSGN/FULL PSE/RECST</v>
      </c>
      <c r="H2258" s="2" t="str">
        <f>CLEAN("CTH S")</f>
        <v>CTH S</v>
      </c>
      <c r="I2258" s="2" t="str">
        <f>CLEAN("206")</f>
        <v>206</v>
      </c>
    </row>
    <row r="2259" spans="1:9" x14ac:dyDescent="0.35">
      <c r="A2259" s="2" t="str">
        <f t="shared" si="346"/>
        <v>OUTAGAMIE</v>
      </c>
      <c r="B2259" s="2" t="str">
        <f t="shared" si="347"/>
        <v>OUTAGAMIE COUNTY</v>
      </c>
      <c r="C2259" s="2" t="s">
        <v>2408</v>
      </c>
      <c r="D2259" s="2" t="str">
        <f>CLEAN("6521-05-00")</f>
        <v>6521-05-00</v>
      </c>
      <c r="E2259" s="3" t="str">
        <f>CLEAN("CENTER - BLACK CREEK")</f>
        <v>CENTER - BLACK CREEK</v>
      </c>
      <c r="F2259" s="3" t="str">
        <f>CLEAN("CTH S INTERSECTION")</f>
        <v>CTH S INTERSECTION</v>
      </c>
      <c r="G2259" s="3" t="str">
        <f>CLEAN("DSGN/FULL PSE/RECST")</f>
        <v>DSGN/FULL PSE/RECST</v>
      </c>
      <c r="H2259" s="2" t="str">
        <f>CLEAN("CTH A")</f>
        <v>CTH A</v>
      </c>
      <c r="I2259" s="2" t="str">
        <f>CLEAN("206")</f>
        <v>206</v>
      </c>
    </row>
    <row r="2260" spans="1:9" x14ac:dyDescent="0.35">
      <c r="A2260" s="2" t="str">
        <f t="shared" si="346"/>
        <v>OUTAGAMIE</v>
      </c>
      <c r="B2260" s="2" t="str">
        <f t="shared" si="347"/>
        <v>OUTAGAMIE COUNTY</v>
      </c>
      <c r="C2260" s="2" t="s">
        <v>2407</v>
      </c>
      <c r="D2260" s="2" t="str">
        <f>CLEAN("6521-06-00")</f>
        <v>6521-06-00</v>
      </c>
      <c r="E2260" s="3" t="str">
        <f>CLEAN("GRAND CHUTE - CENTER")</f>
        <v>GRAND CHUTE - CENTER</v>
      </c>
      <c r="F2260" s="3" t="str">
        <f>CLEAN("CTH JJ INTERSECTION")</f>
        <v>CTH JJ INTERSECTION</v>
      </c>
      <c r="G2260" s="3" t="str">
        <f>CLEAN("DSGN/FULL PSE/RECST")</f>
        <v>DSGN/FULL PSE/RECST</v>
      </c>
      <c r="H2260" s="2" t="str">
        <f>CLEAN("CTH A")</f>
        <v>CTH A</v>
      </c>
      <c r="I2260" s="2" t="str">
        <f>CLEAN("206")</f>
        <v>206</v>
      </c>
    </row>
    <row r="2261" spans="1:9" x14ac:dyDescent="0.35">
      <c r="A2261" s="2" t="str">
        <f>CLEAN("OZAUKEE")</f>
        <v>OZAUKEE</v>
      </c>
      <c r="B2261" s="2" t="str">
        <f>CLEAN("OZAUKEE COUNTY")</f>
        <v>OZAUKEE COUNTY</v>
      </c>
      <c r="C2261" s="2" t="s">
        <v>2858</v>
      </c>
      <c r="D2261" s="2" t="str">
        <f>CLEAN("2695-05-02")</f>
        <v>2695-05-02</v>
      </c>
      <c r="E2261" s="3" t="str">
        <f>CLEAN("C MEQUON/T GRAFTON  PIONEER RD")</f>
        <v>C MEQUON/T GRAFTON  PIONEER RD</v>
      </c>
      <c r="F2261" s="3" t="str">
        <f>CLEAN("INTERSECTION PORT WASHINGTON RD")</f>
        <v>INTERSECTION PORT WASHINGTON RD</v>
      </c>
      <c r="G2261" s="3" t="str">
        <f>CLEAN("PE/FULL PSE/MISC")</f>
        <v>PE/FULL PSE/MISC</v>
      </c>
      <c r="H2261" s="2" t="str">
        <f>CLEAN("CTH C")</f>
        <v>CTH C</v>
      </c>
      <c r="I2261" s="2" t="str">
        <f>CLEAN("206")</f>
        <v>206</v>
      </c>
    </row>
    <row r="2262" spans="1:9" x14ac:dyDescent="0.35">
      <c r="A2262" s="2" t="str">
        <f>CLEAN("OZAUKEE")</f>
        <v>OZAUKEE</v>
      </c>
      <c r="B2262" s="2" t="str">
        <f>CLEAN("OZAUKEE COUNTY")</f>
        <v>OZAUKEE COUNTY</v>
      </c>
      <c r="C2262" s="2" t="s">
        <v>1076</v>
      </c>
      <c r="D2262" s="2" t="str">
        <f>CLEAN("2695-05-72")</f>
        <v>2695-05-72</v>
      </c>
      <c r="E2262" s="3" t="str">
        <f>CLEAN("C MEQUON/T GRAFTON  PIONEER RD")</f>
        <v>C MEQUON/T GRAFTON  PIONEER RD</v>
      </c>
      <c r="F2262" s="3" t="str">
        <f>CLEAN("INTERSECTION PORT WASHINGTON RD")</f>
        <v>INTERSECTION PORT WASHINGTON RD</v>
      </c>
      <c r="G2262" s="3" t="str">
        <f>CLEAN("CONST/TRAFFIC SIGNALS")</f>
        <v>CONST/TRAFFIC SIGNALS</v>
      </c>
      <c r="H2262" s="2" t="str">
        <f>CLEAN("CTH C")</f>
        <v>CTH C</v>
      </c>
      <c r="I2262" s="2" t="str">
        <f>CLEAN("206")</f>
        <v>206</v>
      </c>
    </row>
    <row r="2263" spans="1:9" x14ac:dyDescent="0.35">
      <c r="A2263" s="2" t="str">
        <f>CLEAN("OZAUKEE")</f>
        <v>OZAUKEE</v>
      </c>
      <c r="B2263" s="2" t="str">
        <f>CLEAN("OZAUKEE COUNTY")</f>
        <v>OZAUKEE COUNTY</v>
      </c>
      <c r="C2263" s="2" t="s">
        <v>2802</v>
      </c>
      <c r="D2263" s="2" t="str">
        <f>CLEAN("2696-23-00")</f>
        <v>2696-23-00</v>
      </c>
      <c r="E2263" s="3" t="str">
        <f>CLEAN("OZAUKEE INTERURBAN TRAIL EW")</f>
        <v>OZAUKEE INTERURBAN TRAIL EW</v>
      </c>
      <c r="F2263" s="3" t="str">
        <f>CLEAN("ALONG STH 60 1ST TO WASHINGTON")</f>
        <v>ALONG STH 60 1ST TO WASHINGTON</v>
      </c>
      <c r="G2263" s="3" t="str">
        <f>CLEAN("PE/FULL PS/MISC")</f>
        <v>PE/FULL PS/MISC</v>
      </c>
      <c r="H2263" s="2" t="str">
        <f>CLEAN("NON HWY")</f>
        <v>NON HWY</v>
      </c>
      <c r="I2263" s="2" t="str">
        <f>CLEAN("290")</f>
        <v>290</v>
      </c>
    </row>
    <row r="2264" spans="1:9" x14ac:dyDescent="0.35">
      <c r="A2264" s="2" t="str">
        <f>CLEAN("OZAUKEE")</f>
        <v>OZAUKEE</v>
      </c>
      <c r="B2264" s="2" t="str">
        <f>CLEAN("OZAUKEE COUNTY")</f>
        <v>OZAUKEE COUNTY</v>
      </c>
      <c r="C2264" s="2" t="s">
        <v>2980</v>
      </c>
      <c r="D2264" s="2" t="str">
        <f>CLEAN("4822-22-00")</f>
        <v>4822-22-00</v>
      </c>
      <c r="E2264" s="3" t="str">
        <f>CLEAN("OZAUKEE INTERURBAN TRAIL")</f>
        <v>OZAUKEE INTERURBAN TRAIL</v>
      </c>
      <c r="F2264" s="3" t="str">
        <f>CLEAN("CO LN-GRAFTON C LMT EXCLD C PT WASH")</f>
        <v>CO LN-GRAFTON C LMT EXCLD C PT WASH</v>
      </c>
      <c r="G2264" s="3" t="str">
        <f>CLEAN("PE/STATE REVIEW ONLY")</f>
        <v>PE/STATE REVIEW ONLY</v>
      </c>
      <c r="H2264" s="2" t="str">
        <f>CLEAN("NON HWY")</f>
        <v>NON HWY</v>
      </c>
      <c r="I2264" s="2" t="str">
        <f>CLEAN("290")</f>
        <v>290</v>
      </c>
    </row>
    <row r="2265" spans="1:9" x14ac:dyDescent="0.35">
      <c r="A2265" s="2" t="str">
        <f>CLEAN("OZAUKEE")</f>
        <v>OZAUKEE</v>
      </c>
      <c r="B2265" s="2" t="str">
        <f>CLEAN("OZAUKEE COUNTY")</f>
        <v>OZAUKEE COUNTY</v>
      </c>
      <c r="C2265" s="2" t="s">
        <v>1083</v>
      </c>
      <c r="D2265" s="2" t="str">
        <f>CLEAN("4822-22-70")</f>
        <v>4822-22-70</v>
      </c>
      <c r="E2265" s="3" t="str">
        <f>CLEAN("OZAUKEE INTERURBAN TRAIL")</f>
        <v>OZAUKEE INTERURBAN TRAIL</v>
      </c>
      <c r="F2265" s="3" t="str">
        <f>CLEAN("CO LN-GRAFTON C LMT EXCLD C PT WASH")</f>
        <v>CO LN-GRAFTON C LMT EXCLD C PT WASH</v>
      </c>
      <c r="G2265" s="3" t="str">
        <f>CLEAN("CONST/TRAIL")</f>
        <v>CONST/TRAIL</v>
      </c>
      <c r="H2265" s="2" t="str">
        <f>CLEAN("NON HWY")</f>
        <v>NON HWY</v>
      </c>
      <c r="I2265" s="2" t="str">
        <f>CLEAN("290")</f>
        <v>290</v>
      </c>
    </row>
    <row r="2266" spans="1:9" x14ac:dyDescent="0.35">
      <c r="A2266" s="2" t="str">
        <f>CLEAN("WAUKESHA")</f>
        <v>WAUKESHA</v>
      </c>
      <c r="B2266" s="2" t="str">
        <f>CLEAN("PABST FARMS DEVELOPMENT")</f>
        <v>PABST FARMS DEVELOPMENT</v>
      </c>
      <c r="C2266" s="2" t="s">
        <v>706</v>
      </c>
      <c r="D2266" s="2" t="str">
        <f>CLEAN("3100-00-75")</f>
        <v>3100-00-75</v>
      </c>
      <c r="E2266" s="3" t="str">
        <f>CLEAN("ELKHORN TO EAGLE")</f>
        <v>ELKHORN TO EAGLE</v>
      </c>
      <c r="F2266" s="3" t="str">
        <f>CLEAN("USH 12 TO STH 59")</f>
        <v>USH 12 TO STH 59</v>
      </c>
      <c r="G2266" s="3" t="str">
        <f>CLEAN("CONST/PSRS40 RESURFACE")</f>
        <v>CONST/PSRS40 RESURFACE</v>
      </c>
      <c r="H2266" s="2" t="str">
        <f>CLEAN("STH 067")</f>
        <v>STH 067</v>
      </c>
      <c r="I2266" s="2" t="str">
        <f>CLEAN("303")</f>
        <v>303</v>
      </c>
    </row>
    <row r="2267" spans="1:9" x14ac:dyDescent="0.35">
      <c r="A2267" s="2" t="str">
        <f t="shared" ref="A2267:A2274" si="351">CLEAN("PEPIN")</f>
        <v>PEPIN</v>
      </c>
      <c r="B2267" s="2" t="str">
        <f t="shared" ref="B2267:B2274" si="352">CLEAN("PEPIN COUNTY")</f>
        <v>PEPIN COUNTY</v>
      </c>
      <c r="C2267" s="2" t="s">
        <v>1450</v>
      </c>
      <c r="D2267" s="2" t="str">
        <f>CLEAN("7873-03-02")</f>
        <v>7873-03-02</v>
      </c>
      <c r="E2267" s="3" t="str">
        <f>CLEAN("ARKANSAW - NCL")</f>
        <v>ARKANSAW - NCL</v>
      </c>
      <c r="F2267" s="3" t="str">
        <f>CLEAN("EAU GALLE RIVER BRIDGE P-46-0912")</f>
        <v>EAU GALLE RIVER BRIDGE P-46-0912</v>
      </c>
      <c r="G2267" s="3" t="str">
        <f>CLEAN("DESIGN - FULL PS&amp;E BRRPL")</f>
        <v>DESIGN - FULL PS&amp;E BRRPL</v>
      </c>
      <c r="H2267" s="2" t="str">
        <f>CLEAN("CTH D")</f>
        <v>CTH D</v>
      </c>
      <c r="I2267" s="2" t="str">
        <f>CLEAN("205")</f>
        <v>205</v>
      </c>
    </row>
    <row r="2268" spans="1:9" x14ac:dyDescent="0.35">
      <c r="A2268" s="2" t="str">
        <f t="shared" si="351"/>
        <v>PEPIN</v>
      </c>
      <c r="B2268" s="2" t="str">
        <f t="shared" si="352"/>
        <v>PEPIN COUNTY</v>
      </c>
      <c r="C2268" s="2" t="s">
        <v>1589</v>
      </c>
      <c r="D2268" s="2" t="str">
        <f>CLEAN("7866-00-00")</f>
        <v>7866-00-00</v>
      </c>
      <c r="E2268" s="3" t="str">
        <f>CLEAN("USH 10 - CTH R")</f>
        <v>USH 10 - CTH R</v>
      </c>
      <c r="F2268" s="3" t="str">
        <f>CLEAN("HARVEY CREEK BRIDGE P-46-0914")</f>
        <v>HARVEY CREEK BRIDGE P-46-0914</v>
      </c>
      <c r="G2268" s="3" t="str">
        <f>CLEAN("DESIGN - FULL PS&amp;E/BRRPL")</f>
        <v>DESIGN - FULL PS&amp;E/BRRPL</v>
      </c>
      <c r="H2268" s="2" t="str">
        <f>CLEAN("CTH W")</f>
        <v>CTH W</v>
      </c>
      <c r="I2268" s="2" t="str">
        <f>CLEAN("205")</f>
        <v>205</v>
      </c>
    </row>
    <row r="2269" spans="1:9" x14ac:dyDescent="0.35">
      <c r="A2269" s="2" t="str">
        <f t="shared" si="351"/>
        <v>PEPIN</v>
      </c>
      <c r="B2269" s="2" t="str">
        <f t="shared" si="352"/>
        <v>PEPIN COUNTY</v>
      </c>
      <c r="C2269" s="2" t="s">
        <v>1422</v>
      </c>
      <c r="D2269" s="2" t="str">
        <f>CLEAN("7868-00-00")</f>
        <v>7868-00-00</v>
      </c>
      <c r="E2269" s="3" t="str">
        <f>CLEAN("T DURAND  DORWINS MILL ROAD")</f>
        <v>T DURAND  DORWINS MILL ROAD</v>
      </c>
      <c r="F2269" s="3" t="str">
        <f>CLEAN("BEAR CREEK BRIDGE P-46-0913")</f>
        <v>BEAR CREEK BRIDGE P-46-0913</v>
      </c>
      <c r="G2269" s="3" t="str">
        <f>CLEAN("DESIGN - FULL PS&amp;E BRRPL")</f>
        <v>DESIGN - FULL PS&amp;E BRRPL</v>
      </c>
      <c r="H2269" s="2" t="str">
        <f>CLEAN("LOC STR")</f>
        <v>LOC STR</v>
      </c>
      <c r="I2269" s="2" t="str">
        <f>CLEAN("205")</f>
        <v>205</v>
      </c>
    </row>
    <row r="2270" spans="1:9" x14ac:dyDescent="0.35">
      <c r="A2270" s="2" t="str">
        <f t="shared" si="351"/>
        <v>PEPIN</v>
      </c>
      <c r="B2270" s="2" t="str">
        <f t="shared" si="352"/>
        <v>PEPIN COUNTY</v>
      </c>
      <c r="C2270" s="2" t="s">
        <v>1159</v>
      </c>
      <c r="D2270" s="2" t="str">
        <f>CLEAN("7868-00-70")</f>
        <v>7868-00-70</v>
      </c>
      <c r="E2270" s="3" t="str">
        <f>CLEAN("T DURAND  DORWINS MILL ROAD")</f>
        <v>T DURAND  DORWINS MILL ROAD</v>
      </c>
      <c r="F2270" s="3" t="str">
        <f>CLEAN("BEAR CREEK BRIDGE B-46-0057")</f>
        <v>BEAR CREEK BRIDGE B-46-0057</v>
      </c>
      <c r="G2270" s="3" t="str">
        <f>CLEAN("CONSTRUCTION/BRIDGE REPLACEMENT")</f>
        <v>CONSTRUCTION/BRIDGE REPLACEMENT</v>
      </c>
      <c r="H2270" s="2" t="str">
        <f>CLEAN("LOC STR")</f>
        <v>LOC STR</v>
      </c>
      <c r="I2270" s="2" t="str">
        <f>CLEAN("205")</f>
        <v>205</v>
      </c>
    </row>
    <row r="2271" spans="1:9" x14ac:dyDescent="0.35">
      <c r="A2271" s="2" t="str">
        <f t="shared" si="351"/>
        <v>PEPIN</v>
      </c>
      <c r="B2271" s="2" t="str">
        <f t="shared" si="352"/>
        <v>PEPIN COUNTY</v>
      </c>
      <c r="C2271" s="2" t="s">
        <v>1643</v>
      </c>
      <c r="D2271" s="2" t="str">
        <f>CLEAN("7868-03-00")</f>
        <v>7868-03-00</v>
      </c>
      <c r="E2271" s="3" t="str">
        <f>CLEAN("SOUTH COUNTY LINE - USH 10")</f>
        <v>SOUTH COUNTY LINE - USH 10</v>
      </c>
      <c r="F2271" s="3" t="str">
        <f>CLEAN("SOUTH COUNTY LINE TO V SCHUH LANE")</f>
        <v>SOUTH COUNTY LINE TO V SCHUH LANE</v>
      </c>
      <c r="G2271" s="3" t="str">
        <f>CLEAN("DESIGN - FULL PS&amp;E/RECONDITION")</f>
        <v>DESIGN - FULL PS&amp;E/RECONDITION</v>
      </c>
      <c r="H2271" s="2" t="str">
        <f>CLEAN("CTH PP")</f>
        <v>CTH PP</v>
      </c>
      <c r="I2271" s="2" t="str">
        <f>CLEAN("206")</f>
        <v>206</v>
      </c>
    </row>
    <row r="2272" spans="1:9" x14ac:dyDescent="0.35">
      <c r="A2272" s="2" t="str">
        <f t="shared" si="351"/>
        <v>PEPIN</v>
      </c>
      <c r="B2272" s="2" t="str">
        <f t="shared" si="352"/>
        <v>PEPIN COUNTY</v>
      </c>
      <c r="C2272" s="2" t="s">
        <v>1316</v>
      </c>
      <c r="D2272" s="2" t="str">
        <f>CLEAN("7868-03-70")</f>
        <v>7868-03-70</v>
      </c>
      <c r="E2272" s="3" t="str">
        <f>CLEAN("SOUTH COUNTY LINE - USH 10")</f>
        <v>SOUTH COUNTY LINE - USH 10</v>
      </c>
      <c r="F2272" s="3" t="str">
        <f>CLEAN("SOUTH COUNTY LINE TO V SCHUH LANE")</f>
        <v>SOUTH COUNTY LINE TO V SCHUH LANE</v>
      </c>
      <c r="G2272" s="3" t="str">
        <f>CLEAN("CONSTRUCTION/RECONDITION")</f>
        <v>CONSTRUCTION/RECONDITION</v>
      </c>
      <c r="H2272" s="2" t="str">
        <f>CLEAN("CTH PP")</f>
        <v>CTH PP</v>
      </c>
      <c r="I2272" s="2" t="str">
        <f>CLEAN("206")</f>
        <v>206</v>
      </c>
    </row>
    <row r="2273" spans="1:9" x14ac:dyDescent="0.35">
      <c r="A2273" s="2" t="str">
        <f t="shared" si="351"/>
        <v>PEPIN</v>
      </c>
      <c r="B2273" s="2" t="str">
        <f t="shared" si="352"/>
        <v>PEPIN COUNTY</v>
      </c>
      <c r="C2273" s="2" t="s">
        <v>1566</v>
      </c>
      <c r="D2273" s="2" t="str">
        <f>CLEAN("7869-00-00")</f>
        <v>7869-00-00</v>
      </c>
      <c r="E2273" s="3" t="str">
        <f>CLEAN("WEST COUNTY LINE - STH 25")</f>
        <v>WEST COUNTY LINE - STH 25</v>
      </c>
      <c r="F2273" s="3" t="str">
        <f>CLEAN("ARKANSAW CREEK BRIDGE B-46-0860")</f>
        <v>ARKANSAW CREEK BRIDGE B-46-0860</v>
      </c>
      <c r="G2273" s="3" t="str">
        <f>CLEAN("DESIGN - FULL PS&amp;E/BRRPL")</f>
        <v>DESIGN - FULL PS&amp;E/BRRPL</v>
      </c>
      <c r="H2273" s="2" t="str">
        <f>CLEAN("CTH Z")</f>
        <v>CTH Z</v>
      </c>
      <c r="I2273" s="2" t="str">
        <f>CLEAN("205")</f>
        <v>205</v>
      </c>
    </row>
    <row r="2274" spans="1:9" x14ac:dyDescent="0.35">
      <c r="A2274" s="2" t="str">
        <f t="shared" si="351"/>
        <v>PEPIN</v>
      </c>
      <c r="B2274" s="2" t="str">
        <f t="shared" si="352"/>
        <v>PEPIN COUNTY</v>
      </c>
      <c r="C2274" s="2" t="s">
        <v>1179</v>
      </c>
      <c r="D2274" s="2" t="str">
        <f>CLEAN("7873-03-72")</f>
        <v>7873-03-72</v>
      </c>
      <c r="E2274" s="3" t="str">
        <f>CLEAN("ARKANSAW - NCL")</f>
        <v>ARKANSAW - NCL</v>
      </c>
      <c r="F2274" s="3" t="str">
        <f>CLEAN("EAU GALLE RIVER BRIDGE B-46-0058")</f>
        <v>EAU GALLE RIVER BRIDGE B-46-0058</v>
      </c>
      <c r="G2274" s="3" t="str">
        <f>CLEAN("CONSTRUCTION/BRIDGE REPLACEMENT")</f>
        <v>CONSTRUCTION/BRIDGE REPLACEMENT</v>
      </c>
      <c r="H2274" s="2" t="str">
        <f>CLEAN("CTH D")</f>
        <v>CTH D</v>
      </c>
      <c r="I2274" s="2" t="str">
        <f>CLEAN("205")</f>
        <v>205</v>
      </c>
    </row>
    <row r="2275" spans="1:9" x14ac:dyDescent="0.35">
      <c r="A2275" s="2" t="str">
        <f t="shared" ref="A2275:A2281" si="353">CLEAN("PIERCE")</f>
        <v>PIERCE</v>
      </c>
      <c r="B2275" s="2" t="str">
        <f t="shared" ref="B2275:B2281" si="354">CLEAN("PIERCE COUNTY")</f>
        <v>PIERCE COUNTY</v>
      </c>
      <c r="C2275" s="2" t="s">
        <v>1627</v>
      </c>
      <c r="D2275" s="2" t="str">
        <f>CLEAN("7896-05-02")</f>
        <v>7896-05-02</v>
      </c>
      <c r="E2275" s="3" t="str">
        <f>CLEAN("MAIDEN ROCK - PLUM CITY")</f>
        <v>MAIDEN ROCK - PLUM CITY</v>
      </c>
      <c r="F2275" s="3" t="str">
        <f>CLEAN("CTH CC TO COURT ROAD")</f>
        <v>CTH CC TO COURT ROAD</v>
      </c>
      <c r="G2275" s="3" t="str">
        <f>CLEAN("DESIGN - FULL PS&amp;E/PVRPLA")</f>
        <v>DESIGN - FULL PS&amp;E/PVRPLA</v>
      </c>
      <c r="H2275" s="2" t="str">
        <f>CLEAN("CTH S")</f>
        <v>CTH S</v>
      </c>
      <c r="I2275" s="2" t="str">
        <f>CLEAN("206")</f>
        <v>206</v>
      </c>
    </row>
    <row r="2276" spans="1:9" x14ac:dyDescent="0.35">
      <c r="A2276" s="2" t="str">
        <f t="shared" si="353"/>
        <v>PIERCE</v>
      </c>
      <c r="B2276" s="2" t="str">
        <f t="shared" si="354"/>
        <v>PIERCE COUNTY</v>
      </c>
      <c r="C2276" s="2" t="s">
        <v>1506</v>
      </c>
      <c r="D2276" s="2" t="str">
        <f>CLEAN("7899-03-02")</f>
        <v>7899-03-02</v>
      </c>
      <c r="E2276" s="3" t="str">
        <f>CLEAN("CTH CC - PLUM CITY")</f>
        <v>CTH CC - PLUM CITY</v>
      </c>
      <c r="F2276" s="3" t="str">
        <f>CLEAN("CTH CC TO 145TH AVENUE")</f>
        <v>CTH CC TO 145TH AVENUE</v>
      </c>
      <c r="G2276" s="3" t="str">
        <f>CLEAN("DESIGN - FULL PS&amp;E PVRPLA")</f>
        <v>DESIGN - FULL PS&amp;E PVRPLA</v>
      </c>
      <c r="H2276" s="2" t="str">
        <f>CLEAN("CTH U")</f>
        <v>CTH U</v>
      </c>
      <c r="I2276" s="2" t="str">
        <f>CLEAN("206")</f>
        <v>206</v>
      </c>
    </row>
    <row r="2277" spans="1:9" x14ac:dyDescent="0.35">
      <c r="A2277" s="2" t="str">
        <f t="shared" si="353"/>
        <v>PIERCE</v>
      </c>
      <c r="B2277" s="2" t="str">
        <f t="shared" si="354"/>
        <v>PIERCE COUNTY</v>
      </c>
      <c r="C2277" s="2" t="s">
        <v>1557</v>
      </c>
      <c r="D2277" s="2" t="str">
        <f>CLEAN("7887-00-00")</f>
        <v>7887-00-00</v>
      </c>
      <c r="E2277" s="3" t="str">
        <f>CLEAN("T CLIFTON  CTH M")</f>
        <v>T CLIFTON  CTH M</v>
      </c>
      <c r="F2277" s="3" t="str">
        <f>CLEAN("CTH F TO RIVER FALLS")</f>
        <v>CTH F TO RIVER FALLS</v>
      </c>
      <c r="G2277" s="3" t="str">
        <f>CLEAN("DESIGN - FULL PS&amp;E SAFTEY")</f>
        <v>DESIGN - FULL PS&amp;E SAFTEY</v>
      </c>
      <c r="H2277" s="2" t="str">
        <f>CLEAN("CTH M")</f>
        <v>CTH M</v>
      </c>
      <c r="I2277" s="2" t="str">
        <f>CLEAN("206")</f>
        <v>206</v>
      </c>
    </row>
    <row r="2278" spans="1:9" x14ac:dyDescent="0.35">
      <c r="A2278" s="2" t="str">
        <f t="shared" si="353"/>
        <v>PIERCE</v>
      </c>
      <c r="B2278" s="2" t="str">
        <f t="shared" si="354"/>
        <v>PIERCE COUNTY</v>
      </c>
      <c r="C2278" s="2" t="s">
        <v>1377</v>
      </c>
      <c r="D2278" s="2" t="str">
        <f>CLEAN("7887-00-70")</f>
        <v>7887-00-70</v>
      </c>
      <c r="E2278" s="3" t="str">
        <f>CLEAN("T CLIFTON  CTH M")</f>
        <v>T CLIFTON  CTH M</v>
      </c>
      <c r="F2278" s="3" t="str">
        <f>CLEAN("CTH F TO RIVER FALLS")</f>
        <v>CTH F TO RIVER FALLS</v>
      </c>
      <c r="G2278" s="3" t="str">
        <f>CLEAN("CONSTRUCTION/SAFETY HRRR")</f>
        <v>CONSTRUCTION/SAFETY HRRR</v>
      </c>
      <c r="H2278" s="2" t="str">
        <f>CLEAN("CTH M")</f>
        <v>CTH M</v>
      </c>
      <c r="I2278" s="2" t="str">
        <f>CLEAN("206")</f>
        <v>206</v>
      </c>
    </row>
    <row r="2279" spans="1:9" x14ac:dyDescent="0.35">
      <c r="A2279" s="2" t="str">
        <f t="shared" si="353"/>
        <v>PIERCE</v>
      </c>
      <c r="B2279" s="2" t="str">
        <f t="shared" si="354"/>
        <v>PIERCE COUNTY</v>
      </c>
      <c r="C2279" s="2" t="s">
        <v>1226</v>
      </c>
      <c r="D2279" s="2" t="str">
        <f>CLEAN("7894-03-73")</f>
        <v>7894-03-73</v>
      </c>
      <c r="E2279" s="3" t="str">
        <f>CLEAN("STH 35 - USH 10")</f>
        <v>STH 35 - USH 10</v>
      </c>
      <c r="F2279" s="3" t="str">
        <f>CLEAN("TRIMBELLE RIVER BRIDGE B-47-0048")</f>
        <v>TRIMBELLE RIVER BRIDGE B-47-0048</v>
      </c>
      <c r="G2279" s="3" t="str">
        <f>CLEAN("CONSTRUCTION/BRRHB/DECK REPLACEMENT")</f>
        <v>CONSTRUCTION/BRRHB/DECK REPLACEMENT</v>
      </c>
      <c r="H2279" s="2" t="str">
        <f>CLEAN("CTH O")</f>
        <v>CTH O</v>
      </c>
      <c r="I2279" s="2" t="str">
        <f>CLEAN("205")</f>
        <v>205</v>
      </c>
    </row>
    <row r="2280" spans="1:9" x14ac:dyDescent="0.35">
      <c r="A2280" s="2" t="str">
        <f t="shared" si="353"/>
        <v>PIERCE</v>
      </c>
      <c r="B2280" s="2" t="str">
        <f t="shared" si="354"/>
        <v>PIERCE COUNTY</v>
      </c>
      <c r="C2280" s="2" t="s">
        <v>1125</v>
      </c>
      <c r="D2280" s="2" t="str">
        <f>CLEAN("7896-02-70")</f>
        <v>7896-02-70</v>
      </c>
      <c r="E2280" s="3" t="str">
        <f>CLEAN("STH 35 - USH 10")</f>
        <v>STH 35 - USH 10</v>
      </c>
      <c r="F2280" s="3" t="str">
        <f>CLEAN("GREAT RIVER ROAD TO USH 10")</f>
        <v>GREAT RIVER ROAD TO USH 10</v>
      </c>
      <c r="G2280" s="3" t="str">
        <f>CLEAN("CONSTR/HRRR/SAFETY TREATMENTS")</f>
        <v>CONSTR/HRRR/SAFETY TREATMENTS</v>
      </c>
      <c r="H2280" s="2" t="str">
        <f>CLEAN("CTH A")</f>
        <v>CTH A</v>
      </c>
      <c r="I2280" s="2" t="str">
        <f>CLEAN("206")</f>
        <v>206</v>
      </c>
    </row>
    <row r="2281" spans="1:9" x14ac:dyDescent="0.35">
      <c r="A2281" s="2" t="str">
        <f t="shared" si="353"/>
        <v>PIERCE</v>
      </c>
      <c r="B2281" s="2" t="str">
        <f t="shared" si="354"/>
        <v>PIERCE COUNTY</v>
      </c>
      <c r="C2281" s="2" t="s">
        <v>1303</v>
      </c>
      <c r="D2281" s="2" t="str">
        <f>CLEAN("7899-03-72")</f>
        <v>7899-03-72</v>
      </c>
      <c r="E2281" s="3" t="str">
        <f>CLEAN("CTH CC - PLUM CITY")</f>
        <v>CTH CC - PLUM CITY</v>
      </c>
      <c r="F2281" s="3" t="str">
        <f>CLEAN("CTH CC TO 145TH AVENUE")</f>
        <v>CTH CC TO 145TH AVENUE</v>
      </c>
      <c r="G2281" s="3" t="str">
        <f>CLEAN("CONSTRUCTION/PVRPLA")</f>
        <v>CONSTRUCTION/PVRPLA</v>
      </c>
      <c r="H2281" s="2" t="str">
        <f>CLEAN("CTH U")</f>
        <v>CTH U</v>
      </c>
      <c r="I2281" s="2" t="str">
        <f>CLEAN("206")</f>
        <v>206</v>
      </c>
    </row>
    <row r="2282" spans="1:9" x14ac:dyDescent="0.35">
      <c r="A2282" s="2" t="str">
        <f t="shared" ref="A2282:A2306" si="355">CLEAN("POLK")</f>
        <v>POLK</v>
      </c>
      <c r="B2282" s="2" t="str">
        <f t="shared" ref="B2282:B2306" si="356">CLEAN("POLK COUNTY")</f>
        <v>POLK COUNTY</v>
      </c>
      <c r="C2282" s="2" t="s">
        <v>2607</v>
      </c>
      <c r="D2282" s="2" t="str">
        <f>CLEAN("1000-96-72")</f>
        <v>1000-96-72</v>
      </c>
      <c r="E2282" s="3" t="str">
        <f>CLEAN("POLK COUNTY BIKE/PED")</f>
        <v>POLK COUNTY BIKE/PED</v>
      </c>
      <c r="F2282" s="3" t="str">
        <f>CLEAN("COUNTYWIDE PLAN")</f>
        <v>COUNTYWIDE PLAN</v>
      </c>
      <c r="G2282" s="3" t="str">
        <f>CLEAN("PE - FACILITY PLANNING")</f>
        <v>PE - FACILITY PLANNING</v>
      </c>
      <c r="H2282" s="2" t="str">
        <f>CLEAN("OFF SYS")</f>
        <v>OFF SYS</v>
      </c>
      <c r="I2282" s="2" t="str">
        <f>CLEAN("290")</f>
        <v>290</v>
      </c>
    </row>
    <row r="2283" spans="1:9" x14ac:dyDescent="0.35">
      <c r="A2283" s="2" t="str">
        <f t="shared" si="355"/>
        <v>POLK</v>
      </c>
      <c r="B2283" s="2" t="str">
        <f t="shared" si="356"/>
        <v>POLK COUNTY</v>
      </c>
      <c r="C2283" s="2" t="s">
        <v>2042</v>
      </c>
      <c r="D2283" s="2" t="str">
        <f>CLEAN("8142-00-00")</f>
        <v>8142-00-00</v>
      </c>
      <c r="E2283" s="3" t="str">
        <f>CLEAN("STH 35 - CLEAR LAKE")</f>
        <v>STH 35 - CLEAR LAKE</v>
      </c>
      <c r="F2283" s="3" t="str">
        <f>CLEAN("CTH PP TO PONDHURST DRIVE")</f>
        <v>CTH PP TO PONDHURST DRIVE</v>
      </c>
      <c r="G2283" s="3" t="str">
        <f>CLEAN("DESIGN/PAVEMENT REPLACEMENT")</f>
        <v>DESIGN/PAVEMENT REPLACEMENT</v>
      </c>
      <c r="H2283" s="2" t="str">
        <f>CLEAN("CTH F")</f>
        <v>CTH F</v>
      </c>
      <c r="I2283" s="2" t="str">
        <f>CLEAN("206")</f>
        <v>206</v>
      </c>
    </row>
    <row r="2284" spans="1:9" x14ac:dyDescent="0.35">
      <c r="A2284" s="2" t="str">
        <f t="shared" si="355"/>
        <v>POLK</v>
      </c>
      <c r="B2284" s="2" t="str">
        <f t="shared" si="356"/>
        <v>POLK COUNTY</v>
      </c>
      <c r="C2284" s="2" t="s">
        <v>1211</v>
      </c>
      <c r="D2284" s="2" t="str">
        <f>CLEAN("8397-00-70")</f>
        <v>8397-00-70</v>
      </c>
      <c r="E2284" s="3" t="str">
        <f>CLEAN("CTH M - CTH PP")</f>
        <v>CTH M - CTH PP</v>
      </c>
      <c r="F2284" s="3" t="str">
        <f>CLEAN("WAPOGASSET BRANCH BRIDGE B-48-0057")</f>
        <v>WAPOGASSET BRANCH BRIDGE B-48-0057</v>
      </c>
      <c r="G2284" s="3" t="str">
        <f>CLEAN("CONSTRUCTION/BRIDGE REPLACEMENT")</f>
        <v>CONSTRUCTION/BRIDGE REPLACEMENT</v>
      </c>
      <c r="H2284" s="2" t="str">
        <f>CLEAN("CTH K")</f>
        <v>CTH K</v>
      </c>
      <c r="I2284" s="2" t="str">
        <f t="shared" ref="I2284:I2295" si="357">CLEAN("205")</f>
        <v>205</v>
      </c>
    </row>
    <row r="2285" spans="1:9" x14ac:dyDescent="0.35">
      <c r="A2285" s="2" t="str">
        <f t="shared" si="355"/>
        <v>POLK</v>
      </c>
      <c r="B2285" s="2" t="str">
        <f t="shared" si="356"/>
        <v>POLK COUNTY</v>
      </c>
      <c r="C2285" s="2" t="s">
        <v>1218</v>
      </c>
      <c r="D2285" s="2" t="str">
        <f>CLEAN("8397-00-71")</f>
        <v>8397-00-71</v>
      </c>
      <c r="E2285" s="3" t="str">
        <f>CLEAN("T ALDEN  WEST CHURCH ROAD")</f>
        <v>T ALDEN  WEST CHURCH ROAD</v>
      </c>
      <c r="F2285" s="3" t="str">
        <f>CLEAN("APPLE RIVER BRIDGE P-48-0063")</f>
        <v>APPLE RIVER BRIDGE P-48-0063</v>
      </c>
      <c r="G2285" s="3" t="str">
        <f>CLEAN("CONSTRUCTION/BRRHB")</f>
        <v>CONSTRUCTION/BRRHB</v>
      </c>
      <c r="H2285" s="2" t="str">
        <f>CLEAN("LOC STR")</f>
        <v>LOC STR</v>
      </c>
      <c r="I2285" s="2" t="str">
        <f t="shared" si="357"/>
        <v>205</v>
      </c>
    </row>
    <row r="2286" spans="1:9" x14ac:dyDescent="0.35">
      <c r="A2286" s="2" t="str">
        <f t="shared" si="355"/>
        <v>POLK</v>
      </c>
      <c r="B2286" s="2" t="str">
        <f t="shared" si="356"/>
        <v>POLK COUNTY</v>
      </c>
      <c r="C2286" s="2" t="s">
        <v>1565</v>
      </c>
      <c r="D2286" s="2" t="str">
        <f>CLEAN("8398-00-01")</f>
        <v>8398-00-01</v>
      </c>
      <c r="E2286" s="3" t="str">
        <f>CLEAN("T APPLE RIVER  153RD AVENUE")</f>
        <v>T APPLE RIVER  153RD AVENUE</v>
      </c>
      <c r="F2286" s="3" t="str">
        <f>CLEAN("APPLE RIVER BRIDGE P-48-0048")</f>
        <v>APPLE RIVER BRIDGE P-48-0048</v>
      </c>
      <c r="G2286" s="3" t="str">
        <f>CLEAN("DESIGN - FULL PS&amp;E/BRRPL")</f>
        <v>DESIGN - FULL PS&amp;E/BRRPL</v>
      </c>
      <c r="H2286" s="2" t="str">
        <f>CLEAN("LOC STR")</f>
        <v>LOC STR</v>
      </c>
      <c r="I2286" s="2" t="str">
        <f t="shared" si="357"/>
        <v>205</v>
      </c>
    </row>
    <row r="2287" spans="1:9" x14ac:dyDescent="0.35">
      <c r="A2287" s="2" t="str">
        <f t="shared" si="355"/>
        <v>POLK</v>
      </c>
      <c r="B2287" s="2" t="str">
        <f t="shared" si="356"/>
        <v>POLK COUNTY</v>
      </c>
      <c r="C2287" s="2" t="s">
        <v>1245</v>
      </c>
      <c r="D2287" s="2" t="str">
        <f>CLEAN("8398-00-70")</f>
        <v>8398-00-70</v>
      </c>
      <c r="E2287" s="3" t="str">
        <f>CLEAN("T APPLE RIVER  165TH AVENUE")</f>
        <v>T APPLE RIVER  165TH AVENUE</v>
      </c>
      <c r="F2287" s="3" t="str">
        <f>CLEAN("FOX CREEK BRIDGE B-48-0053")</f>
        <v>FOX CREEK BRIDGE B-48-0053</v>
      </c>
      <c r="G2287" s="3" t="str">
        <f>CLEAN("CONSTRUCTION/BRRPL")</f>
        <v>CONSTRUCTION/BRRPL</v>
      </c>
      <c r="H2287" s="2" t="str">
        <f>CLEAN("LOC STR")</f>
        <v>LOC STR</v>
      </c>
      <c r="I2287" s="2" t="str">
        <f t="shared" si="357"/>
        <v>205</v>
      </c>
    </row>
    <row r="2288" spans="1:9" x14ac:dyDescent="0.35">
      <c r="A2288" s="2" t="str">
        <f t="shared" si="355"/>
        <v>POLK</v>
      </c>
      <c r="B2288" s="2" t="str">
        <f t="shared" si="356"/>
        <v>POLK COUNTY</v>
      </c>
      <c r="C2288" s="2" t="s">
        <v>1469</v>
      </c>
      <c r="D2288" s="2" t="str">
        <f>CLEAN("8402-00-00")</f>
        <v>8402-00-00</v>
      </c>
      <c r="E2288" s="3" t="str">
        <f>CLEAN("FREDERIC - CTH E")</f>
        <v>FREDERIC - CTH E</v>
      </c>
      <c r="F2288" s="3" t="str">
        <f>CLEAN("MCKENZIE CREEK BRIDGE P-48-0903")</f>
        <v>MCKENZIE CREEK BRIDGE P-48-0903</v>
      </c>
      <c r="G2288" s="3" t="str">
        <f>CLEAN("DESIGN - FULL PS&amp;E BRRPL")</f>
        <v>DESIGN - FULL PS&amp;E BRRPL</v>
      </c>
      <c r="H2288" s="2" t="str">
        <f>CLEAN("CTH W")</f>
        <v>CTH W</v>
      </c>
      <c r="I2288" s="2" t="str">
        <f t="shared" si="357"/>
        <v>205</v>
      </c>
    </row>
    <row r="2289" spans="1:9" x14ac:dyDescent="0.35">
      <c r="A2289" s="2" t="str">
        <f t="shared" si="355"/>
        <v>POLK</v>
      </c>
      <c r="B2289" s="2" t="str">
        <f t="shared" si="356"/>
        <v>POLK COUNTY</v>
      </c>
      <c r="C2289" s="2" t="s">
        <v>1190</v>
      </c>
      <c r="D2289" s="2" t="str">
        <f>CLEAN("8402-00-70")</f>
        <v>8402-00-70</v>
      </c>
      <c r="E2289" s="3" t="str">
        <f>CLEAN("FREDERIC - CTH E")</f>
        <v>FREDERIC - CTH E</v>
      </c>
      <c r="F2289" s="3" t="str">
        <f>CLEAN("MCKENZIE CREEK BRIDGE B-48-0063")</f>
        <v>MCKENZIE CREEK BRIDGE B-48-0063</v>
      </c>
      <c r="G2289" s="3" t="str">
        <f>CLEAN("CONSTRUCTION/BRIDGE REPLACEMENT")</f>
        <v>CONSTRUCTION/BRIDGE REPLACEMENT</v>
      </c>
      <c r="H2289" s="2" t="str">
        <f>CLEAN("CTH W")</f>
        <v>CTH W</v>
      </c>
      <c r="I2289" s="2" t="str">
        <f t="shared" si="357"/>
        <v>205</v>
      </c>
    </row>
    <row r="2290" spans="1:9" x14ac:dyDescent="0.35">
      <c r="A2290" s="2" t="str">
        <f t="shared" si="355"/>
        <v>POLK</v>
      </c>
      <c r="B2290" s="2" t="str">
        <f t="shared" si="356"/>
        <v>POLK COUNTY</v>
      </c>
      <c r="C2290" s="2" t="s">
        <v>1410</v>
      </c>
      <c r="D2290" s="2" t="str">
        <f>CLEAN("8405-00-02")</f>
        <v>8405-00-02</v>
      </c>
      <c r="E2290" s="3" t="str">
        <f>CLEAN("T CLEAR LAKE  30TH STREET")</f>
        <v>T CLEAR LAKE  30TH STREET</v>
      </c>
      <c r="F2290" s="3" t="str">
        <f>CLEAN("WILLOW RIVER BRIDGE P-48-0914")</f>
        <v>WILLOW RIVER BRIDGE P-48-0914</v>
      </c>
      <c r="G2290" s="3" t="str">
        <f>CLEAN("DESIGN - BRIDGE REPLACEMENT")</f>
        <v>DESIGN - BRIDGE REPLACEMENT</v>
      </c>
      <c r="H2290" s="2" t="str">
        <f t="shared" ref="H2290:H2295" si="358">CLEAN("LOC STR")</f>
        <v>LOC STR</v>
      </c>
      <c r="I2290" s="2" t="str">
        <f t="shared" si="357"/>
        <v>205</v>
      </c>
    </row>
    <row r="2291" spans="1:9" x14ac:dyDescent="0.35">
      <c r="A2291" s="2" t="str">
        <f t="shared" si="355"/>
        <v>POLK</v>
      </c>
      <c r="B2291" s="2" t="str">
        <f t="shared" si="356"/>
        <v>POLK COUNTY</v>
      </c>
      <c r="C2291" s="2" t="s">
        <v>1276</v>
      </c>
      <c r="D2291" s="2" t="str">
        <f>CLEAN("8405-00-71")</f>
        <v>8405-00-71</v>
      </c>
      <c r="E2291" s="3" t="str">
        <f>CLEAN("T CLEAR LAKE  30TH STREET")</f>
        <v>T CLEAR LAKE  30TH STREET</v>
      </c>
      <c r="F2291" s="3" t="str">
        <f>CLEAN("WILLOW RIVER BRIDGE B480055")</f>
        <v>WILLOW RIVER BRIDGE B480055</v>
      </c>
      <c r="G2291" s="3" t="str">
        <f>CLEAN("CONSTRUCTION/BRRPL")</f>
        <v>CONSTRUCTION/BRRPL</v>
      </c>
      <c r="H2291" s="2" t="str">
        <f t="shared" si="358"/>
        <v>LOC STR</v>
      </c>
      <c r="I2291" s="2" t="str">
        <f t="shared" si="357"/>
        <v>205</v>
      </c>
    </row>
    <row r="2292" spans="1:9" x14ac:dyDescent="0.35">
      <c r="A2292" s="2" t="str">
        <f t="shared" si="355"/>
        <v>POLK</v>
      </c>
      <c r="B2292" s="2" t="str">
        <f t="shared" si="356"/>
        <v>POLK COUNTY</v>
      </c>
      <c r="C2292" s="2" t="s">
        <v>1212</v>
      </c>
      <c r="D2292" s="2" t="str">
        <f>CLEAN("8405-00-72")</f>
        <v>8405-00-72</v>
      </c>
      <c r="E2292" s="3" t="str">
        <f>CLEAN("T CLEAR LAKE  30TH STREET")</f>
        <v>T CLEAR LAKE  30TH STREET</v>
      </c>
      <c r="F2292" s="3" t="str">
        <f>CLEAN("WILLOW RIVER BRIDGE B-48-0061")</f>
        <v>WILLOW RIVER BRIDGE B-48-0061</v>
      </c>
      <c r="G2292" s="3" t="str">
        <f>CLEAN("CONSTRUCTION/BRIDGE REPLACEMENT")</f>
        <v>CONSTRUCTION/BRIDGE REPLACEMENT</v>
      </c>
      <c r="H2292" s="2" t="str">
        <f t="shared" si="358"/>
        <v>LOC STR</v>
      </c>
      <c r="I2292" s="2" t="str">
        <f t="shared" si="357"/>
        <v>205</v>
      </c>
    </row>
    <row r="2293" spans="1:9" x14ac:dyDescent="0.35">
      <c r="A2293" s="2" t="str">
        <f t="shared" si="355"/>
        <v>POLK</v>
      </c>
      <c r="B2293" s="2" t="str">
        <f t="shared" si="356"/>
        <v>POLK COUNTY</v>
      </c>
      <c r="C2293" s="2" t="s">
        <v>1457</v>
      </c>
      <c r="D2293" s="2" t="str">
        <f>CLEAN("8413-00-00")</f>
        <v>8413-00-00</v>
      </c>
      <c r="E2293" s="3" t="str">
        <f>CLEAN("T LORAIN  357TH AVENUE")</f>
        <v>T LORAIN  357TH AVENUE</v>
      </c>
      <c r="F2293" s="3" t="str">
        <f>CLEAN("INDIAN CREEK BRIDGE P-48-0915")</f>
        <v>INDIAN CREEK BRIDGE P-48-0915</v>
      </c>
      <c r="G2293" s="3" t="str">
        <f>CLEAN("DESIGN - FULL PS&amp;E BRRPL")</f>
        <v>DESIGN - FULL PS&amp;E BRRPL</v>
      </c>
      <c r="H2293" s="2" t="str">
        <f t="shared" si="358"/>
        <v>LOC STR</v>
      </c>
      <c r="I2293" s="2" t="str">
        <f t="shared" si="357"/>
        <v>205</v>
      </c>
    </row>
    <row r="2294" spans="1:9" x14ac:dyDescent="0.35">
      <c r="A2294" s="2" t="str">
        <f t="shared" si="355"/>
        <v>POLK</v>
      </c>
      <c r="B2294" s="2" t="str">
        <f t="shared" si="356"/>
        <v>POLK COUNTY</v>
      </c>
      <c r="C2294" s="2" t="s">
        <v>1155</v>
      </c>
      <c r="D2294" s="2" t="str">
        <f>CLEAN("8413-00-70")</f>
        <v>8413-00-70</v>
      </c>
      <c r="E2294" s="3" t="str">
        <f>CLEAN("T LORAIN  357TH AVENUE")</f>
        <v>T LORAIN  357TH AVENUE</v>
      </c>
      <c r="F2294" s="3" t="str">
        <f>CLEAN("INDIAN CREEK BRIDGE B-48-0060")</f>
        <v>INDIAN CREEK BRIDGE B-48-0060</v>
      </c>
      <c r="G2294" s="3" t="str">
        <f>CLEAN("CONSTRUCTION/BRDIGE REPLACEMENT")</f>
        <v>CONSTRUCTION/BRDIGE REPLACEMENT</v>
      </c>
      <c r="H2294" s="2" t="str">
        <f t="shared" si="358"/>
        <v>LOC STR</v>
      </c>
      <c r="I2294" s="2" t="str">
        <f t="shared" si="357"/>
        <v>205</v>
      </c>
    </row>
    <row r="2295" spans="1:9" x14ac:dyDescent="0.35">
      <c r="A2295" s="2" t="str">
        <f t="shared" si="355"/>
        <v>POLK</v>
      </c>
      <c r="B2295" s="2" t="str">
        <f t="shared" si="356"/>
        <v>POLK COUNTY</v>
      </c>
      <c r="C2295" s="2" t="s">
        <v>1837</v>
      </c>
      <c r="D2295" s="2" t="str">
        <f>CLEAN("8415-00-00")</f>
        <v>8415-00-00</v>
      </c>
      <c r="E2295" s="3" t="str">
        <f>CLEAN("T MCKINLEY  270TH AVENUE")</f>
        <v>T MCKINLEY  270TH AVENUE</v>
      </c>
      <c r="F2295" s="3" t="str">
        <f>CLEAN("CLAM RIVER BRIDGE P480039")</f>
        <v>CLAM RIVER BRIDGE P480039</v>
      </c>
      <c r="G2295" s="3" t="str">
        <f>CLEAN("DESIGN/BRRPL")</f>
        <v>DESIGN/BRRPL</v>
      </c>
      <c r="H2295" s="2" t="str">
        <f t="shared" si="358"/>
        <v>LOC STR</v>
      </c>
      <c r="I2295" s="2" t="str">
        <f t="shared" si="357"/>
        <v>205</v>
      </c>
    </row>
    <row r="2296" spans="1:9" x14ac:dyDescent="0.35">
      <c r="A2296" s="2" t="str">
        <f t="shared" si="355"/>
        <v>POLK</v>
      </c>
      <c r="B2296" s="2" t="str">
        <f t="shared" si="356"/>
        <v>POLK COUNTY</v>
      </c>
      <c r="C2296" s="2" t="s">
        <v>1644</v>
      </c>
      <c r="D2296" s="2" t="str">
        <f>CLEAN("8850-00-01")</f>
        <v>8850-00-01</v>
      </c>
      <c r="E2296" s="3" t="str">
        <f>CLEAN("LEWIS - INDIAN CREEK")</f>
        <v>LEWIS - INDIAN CREEK</v>
      </c>
      <c r="F2296" s="3" t="str">
        <f>CLEAN("STH 35 TO CTH I")</f>
        <v>STH 35 TO CTH I</v>
      </c>
      <c r="G2296" s="3" t="str">
        <f>CLEAN("DESIGN - FULL PS&amp;E/RECONDITION")</f>
        <v>DESIGN - FULL PS&amp;E/RECONDITION</v>
      </c>
      <c r="H2296" s="2" t="str">
        <f>CLEAN("CTH E")</f>
        <v>CTH E</v>
      </c>
      <c r="I2296" s="2" t="str">
        <f>CLEAN("206")</f>
        <v>206</v>
      </c>
    </row>
    <row r="2297" spans="1:9" x14ac:dyDescent="0.35">
      <c r="A2297" s="2" t="str">
        <f t="shared" si="355"/>
        <v>POLK</v>
      </c>
      <c r="B2297" s="2" t="str">
        <f t="shared" si="356"/>
        <v>POLK COUNTY</v>
      </c>
      <c r="C2297" s="2" t="s">
        <v>1579</v>
      </c>
      <c r="D2297" s="2" t="str">
        <f>CLEAN("8851-00-00")</f>
        <v>8851-00-00</v>
      </c>
      <c r="E2297" s="3" t="str">
        <f>CLEAN("STH 48 - CLAM FALLS")</f>
        <v>STH 48 - CLAM FALLS</v>
      </c>
      <c r="F2297" s="3" t="str">
        <f>CLEAN("CLAM RIVER BRIDGE B-48-0001")</f>
        <v>CLAM RIVER BRIDGE B-48-0001</v>
      </c>
      <c r="G2297" s="3" t="str">
        <f>CLEAN("DESIGN - FULL PS&amp;E/BRRPL")</f>
        <v>DESIGN - FULL PS&amp;E/BRRPL</v>
      </c>
      <c r="H2297" s="2" t="str">
        <f>CLEAN("CTH I")</f>
        <v>CTH I</v>
      </c>
      <c r="I2297" s="2" t="str">
        <f>CLEAN("205")</f>
        <v>205</v>
      </c>
    </row>
    <row r="2298" spans="1:9" x14ac:dyDescent="0.35">
      <c r="A2298" s="2" t="str">
        <f t="shared" si="355"/>
        <v>POLK</v>
      </c>
      <c r="B2298" s="2" t="str">
        <f t="shared" si="356"/>
        <v>POLK COUNTY</v>
      </c>
      <c r="C2298" s="2" t="s">
        <v>1646</v>
      </c>
      <c r="D2298" s="2" t="str">
        <f>CLEAN("8855-00-00")</f>
        <v>8855-00-00</v>
      </c>
      <c r="E2298" s="3" t="str">
        <f>CLEAN("TURTLE LAKE - MCKINLEY")</f>
        <v>TURTLE LAKE - MCKINLEY</v>
      </c>
      <c r="F2298" s="3" t="str">
        <f>CLEAN("USH 8 TO SILVER LAKE ROAD")</f>
        <v>USH 8 TO SILVER LAKE ROAD</v>
      </c>
      <c r="G2298" s="3" t="str">
        <f>CLEAN("DESIGN - FULL PS&amp;E/RECONDITION")</f>
        <v>DESIGN - FULL PS&amp;E/RECONDITION</v>
      </c>
      <c r="H2298" s="2" t="str">
        <f>CLEAN("CTH T")</f>
        <v>CTH T</v>
      </c>
      <c r="I2298" s="2" t="str">
        <f>CLEAN("206")</f>
        <v>206</v>
      </c>
    </row>
    <row r="2299" spans="1:9" x14ac:dyDescent="0.35">
      <c r="A2299" s="2" t="str">
        <f t="shared" si="355"/>
        <v>POLK</v>
      </c>
      <c r="B2299" s="2" t="str">
        <f t="shared" si="356"/>
        <v>POLK COUNTY</v>
      </c>
      <c r="C2299" s="2" t="s">
        <v>1818</v>
      </c>
      <c r="D2299" s="2" t="str">
        <f>CLEAN("8857-00-00")</f>
        <v>8857-00-00</v>
      </c>
      <c r="E2299" s="3" t="str">
        <f>CLEAN("STH 87 - CTH Z")</f>
        <v>STH 87 - CTH Z</v>
      </c>
      <c r="F2299" s="3" t="str">
        <f>CLEAN("TRADE RIVER BRIDGE P-48-0016")</f>
        <v>TRADE RIVER BRIDGE P-48-0016</v>
      </c>
      <c r="G2299" s="3" t="str">
        <f>CLEAN("DESIGN/BRIDGE REPLACEMENT")</f>
        <v>DESIGN/BRIDGE REPLACEMENT</v>
      </c>
      <c r="H2299" s="2" t="str">
        <f>CLEAN("CTH B")</f>
        <v>CTH B</v>
      </c>
      <c r="I2299" s="2" t="str">
        <f>CLEAN("205")</f>
        <v>205</v>
      </c>
    </row>
    <row r="2300" spans="1:9" x14ac:dyDescent="0.35">
      <c r="A2300" s="2" t="str">
        <f t="shared" si="355"/>
        <v>POLK</v>
      </c>
      <c r="B2300" s="2" t="str">
        <f t="shared" si="356"/>
        <v>POLK COUNTY</v>
      </c>
      <c r="C2300" s="2" t="s">
        <v>1631</v>
      </c>
      <c r="D2300" s="2" t="str">
        <f>CLEAN("8857-00-01")</f>
        <v>8857-00-01</v>
      </c>
      <c r="E2300" s="3" t="str">
        <f>CLEAN("ATLAS - LUCK")</f>
        <v>ATLAS - LUCK</v>
      </c>
      <c r="F2300" s="3" t="str">
        <f>CLEAN("CTH Z TO STH 35")</f>
        <v>CTH Z TO STH 35</v>
      </c>
      <c r="G2300" s="3" t="str">
        <f>CLEAN("DESIGN - FULL PS&amp;E/PVRPLA")</f>
        <v>DESIGN - FULL PS&amp;E/PVRPLA</v>
      </c>
      <c r="H2300" s="2" t="str">
        <f>CLEAN("CTH B")</f>
        <v>CTH B</v>
      </c>
      <c r="I2300" s="2" t="str">
        <f>CLEAN("206")</f>
        <v>206</v>
      </c>
    </row>
    <row r="2301" spans="1:9" x14ac:dyDescent="0.35">
      <c r="A2301" s="2" t="str">
        <f t="shared" si="355"/>
        <v>POLK</v>
      </c>
      <c r="B2301" s="2" t="str">
        <f t="shared" si="356"/>
        <v>POLK COUNTY</v>
      </c>
      <c r="C2301" s="2" t="s">
        <v>1208</v>
      </c>
      <c r="D2301" s="2" t="str">
        <f>CLEAN("8857-00-70")</f>
        <v>8857-00-70</v>
      </c>
      <c r="E2301" s="3" t="str">
        <f>CLEAN("STH 87 - CTH Z")</f>
        <v>STH 87 - CTH Z</v>
      </c>
      <c r="F2301" s="3" t="str">
        <f>CLEAN("TRADE RIVER BRIDGE B-48-0058")</f>
        <v>TRADE RIVER BRIDGE B-48-0058</v>
      </c>
      <c r="G2301" s="3" t="str">
        <f>CLEAN("CONSTRUCTION/BRIDGE REPLACEMENT")</f>
        <v>CONSTRUCTION/BRIDGE REPLACEMENT</v>
      </c>
      <c r="H2301" s="2" t="str">
        <f>CLEAN("CTH B")</f>
        <v>CTH B</v>
      </c>
      <c r="I2301" s="2" t="str">
        <f>CLEAN("205")</f>
        <v>205</v>
      </c>
    </row>
    <row r="2302" spans="1:9" x14ac:dyDescent="0.35">
      <c r="A2302" s="2" t="str">
        <f t="shared" si="355"/>
        <v>POLK</v>
      </c>
      <c r="B2302" s="2" t="str">
        <f t="shared" si="356"/>
        <v>POLK COUNTY</v>
      </c>
      <c r="C2302" s="2" t="s">
        <v>1306</v>
      </c>
      <c r="D2302" s="2" t="str">
        <f>CLEAN("8857-00-71")</f>
        <v>8857-00-71</v>
      </c>
      <c r="E2302" s="3" t="str">
        <f>CLEAN("ATLAS - LUCK")</f>
        <v>ATLAS - LUCK</v>
      </c>
      <c r="F2302" s="3" t="str">
        <f>CLEAN("CTH Z TO STH 35")</f>
        <v>CTH Z TO STH 35</v>
      </c>
      <c r="G2302" s="3" t="str">
        <f>CLEAN("CONSTRUCTION/PVRPLA")</f>
        <v>CONSTRUCTION/PVRPLA</v>
      </c>
      <c r="H2302" s="2" t="str">
        <f>CLEAN("CTH B")</f>
        <v>CTH B</v>
      </c>
      <c r="I2302" s="2" t="str">
        <f>CLEAN("206")</f>
        <v>206</v>
      </c>
    </row>
    <row r="2303" spans="1:9" x14ac:dyDescent="0.35">
      <c r="A2303" s="2" t="str">
        <f t="shared" si="355"/>
        <v>POLK</v>
      </c>
      <c r="B2303" s="2" t="str">
        <f t="shared" si="356"/>
        <v>POLK COUNTY</v>
      </c>
      <c r="C2303" s="2" t="s">
        <v>1405</v>
      </c>
      <c r="D2303" s="2" t="str">
        <f>CLEAN("8862-00-00")</f>
        <v>8862-00-00</v>
      </c>
      <c r="E2303" s="3" t="str">
        <f>CLEAN("AMERY - CTH I")</f>
        <v>AMERY - CTH I</v>
      </c>
      <c r="F2303" s="3" t="str">
        <f>CLEAN("APPLE RIVER BRIDGE P-48-0910")</f>
        <v>APPLE RIVER BRIDGE P-48-0910</v>
      </c>
      <c r="G2303" s="3" t="str">
        <f>CLEAN("DESIGN - BRIDGE REPLACEMENT")</f>
        <v>DESIGN - BRIDGE REPLACEMENT</v>
      </c>
      <c r="H2303" s="2" t="str">
        <f>CLEAN("CTH H")</f>
        <v>CTH H</v>
      </c>
      <c r="I2303" s="2" t="str">
        <f>CLEAN("205")</f>
        <v>205</v>
      </c>
    </row>
    <row r="2304" spans="1:9" x14ac:dyDescent="0.35">
      <c r="A2304" s="2" t="str">
        <f t="shared" si="355"/>
        <v>POLK</v>
      </c>
      <c r="B2304" s="2" t="str">
        <f t="shared" si="356"/>
        <v>POLK COUNTY</v>
      </c>
      <c r="C2304" s="2" t="s">
        <v>1157</v>
      </c>
      <c r="D2304" s="2" t="str">
        <f>CLEAN("8862-00-70")</f>
        <v>8862-00-70</v>
      </c>
      <c r="E2304" s="3" t="str">
        <f>CLEAN("AMERY - CTH I")</f>
        <v>AMERY - CTH I</v>
      </c>
      <c r="F2304" s="3" t="str">
        <f>CLEAN("APPLE RIVER BRIDGE B-48-0062")</f>
        <v>APPLE RIVER BRIDGE B-48-0062</v>
      </c>
      <c r="G2304" s="3" t="str">
        <f>CLEAN("CONSTRUCTION/BRIDGE REPLACEMENT")</f>
        <v>CONSTRUCTION/BRIDGE REPLACEMENT</v>
      </c>
      <c r="H2304" s="2" t="str">
        <f>CLEAN("CTH H")</f>
        <v>CTH H</v>
      </c>
      <c r="I2304" s="2" t="str">
        <f>CLEAN("205")</f>
        <v>205</v>
      </c>
    </row>
    <row r="2305" spans="1:9" x14ac:dyDescent="0.35">
      <c r="A2305" s="2" t="str">
        <f t="shared" si="355"/>
        <v>POLK</v>
      </c>
      <c r="B2305" s="2" t="str">
        <f t="shared" si="356"/>
        <v>POLK COUNTY</v>
      </c>
      <c r="C2305" s="2" t="s">
        <v>1550</v>
      </c>
      <c r="D2305" s="2" t="str">
        <f>CLEAN("8864-00-00")</f>
        <v>8864-00-00</v>
      </c>
      <c r="E2305" s="3" t="str">
        <f>CLEAN("DRESSER - AMERY")</f>
        <v>DRESSER - AMERY</v>
      </c>
      <c r="F2305" s="3" t="str">
        <f>CLEAN("VIEW LANE TO STH 65")</f>
        <v>VIEW LANE TO STH 65</v>
      </c>
      <c r="G2305" s="3" t="str">
        <f>CLEAN("DESIGN - FULL PS&amp;E RESURFACE")</f>
        <v>DESIGN - FULL PS&amp;E RESURFACE</v>
      </c>
      <c r="H2305" s="2" t="str">
        <f>CLEAN("CTH F")</f>
        <v>CTH F</v>
      </c>
      <c r="I2305" s="2" t="str">
        <f>CLEAN("206")</f>
        <v>206</v>
      </c>
    </row>
    <row r="2306" spans="1:9" x14ac:dyDescent="0.35">
      <c r="A2306" s="2" t="str">
        <f t="shared" si="355"/>
        <v>POLK</v>
      </c>
      <c r="B2306" s="2" t="str">
        <f t="shared" si="356"/>
        <v>POLK COUNTY</v>
      </c>
      <c r="C2306" s="2" t="s">
        <v>1360</v>
      </c>
      <c r="D2306" s="2" t="str">
        <f>CLEAN("8864-00-70")</f>
        <v>8864-00-70</v>
      </c>
      <c r="E2306" s="3" t="str">
        <f>CLEAN("DRESSER - AMERY")</f>
        <v>DRESSER - AMERY</v>
      </c>
      <c r="F2306" s="3" t="str">
        <f>CLEAN("VIEW LANE TO STH 65")</f>
        <v>VIEW LANE TO STH 65</v>
      </c>
      <c r="G2306" s="3" t="str">
        <f>CLEAN("CONSTRUCTION/RESURFACE")</f>
        <v>CONSTRUCTION/RESURFACE</v>
      </c>
      <c r="H2306" s="2" t="str">
        <f>CLEAN("CTH F")</f>
        <v>CTH F</v>
      </c>
      <c r="I2306" s="2" t="str">
        <f>CLEAN("206")</f>
        <v>206</v>
      </c>
    </row>
    <row r="2307" spans="1:9" x14ac:dyDescent="0.35">
      <c r="A2307" s="2" t="str">
        <f>CLEAN("MILWAUKEE")</f>
        <v>MILWAUKEE</v>
      </c>
      <c r="B2307" s="2" t="str">
        <f>CLEAN("PORT OF MILWAUKEE")</f>
        <v>PORT OF MILWAUKEE</v>
      </c>
      <c r="C2307" s="2" t="s">
        <v>3063</v>
      </c>
      <c r="D2307" s="2" t="str">
        <f>CLEAN("1693-06-09")</f>
        <v>1693-06-09</v>
      </c>
      <c r="E2307" s="3" t="str">
        <f>CLEAN("BIG LAKE MARINE TOWBOAT")</f>
        <v>BIG LAKE MARINE TOWBOAT</v>
      </c>
      <c r="F2307" s="3" t="str">
        <f>CLEAN("2 TOWBOATS")</f>
        <v>2 TOWBOATS</v>
      </c>
      <c r="G2307" s="3" t="str">
        <f>CLEAN("PE-PROCURE TOWBOAT RETROFIT")</f>
        <v>PE-PROCURE TOWBOAT RETROFIT</v>
      </c>
      <c r="H2307" s="2" t="str">
        <f>CLEAN("NON HWY")</f>
        <v>NON HWY</v>
      </c>
      <c r="I2307" s="2" t="str">
        <f>CLEAN("211")</f>
        <v>211</v>
      </c>
    </row>
    <row r="2308" spans="1:9" x14ac:dyDescent="0.35">
      <c r="A2308" s="2" t="str">
        <f t="shared" ref="A2308:A2317" si="359">CLEAN("PORTAGE")</f>
        <v>PORTAGE</v>
      </c>
      <c r="B2308" s="2" t="str">
        <f t="shared" ref="B2308:B2317" si="360">CLEAN("PORTAGE COUNTY")</f>
        <v>PORTAGE COUNTY</v>
      </c>
      <c r="C2308" s="2" t="s">
        <v>2256</v>
      </c>
      <c r="D2308" s="2" t="str">
        <f>CLEAN("6767-01-01")</f>
        <v>6767-01-01</v>
      </c>
      <c r="E2308" s="3" t="str">
        <f>CLEAN("V PLOVER  CTH B")</f>
        <v>V PLOVER  CTH B</v>
      </c>
      <c r="F2308" s="3" t="str">
        <f>CLEAN("WISCONSIN AVENUE TO HOOVER AVENUE")</f>
        <v>WISCONSIN AVENUE TO HOOVER AVENUE</v>
      </c>
      <c r="G2308" s="3" t="str">
        <f>CLEAN("DESIGN/RECONSTRUCT")</f>
        <v>DESIGN/RECONSTRUCT</v>
      </c>
      <c r="H2308" s="2" t="str">
        <f>CLEAN("CTH B")</f>
        <v>CTH B</v>
      </c>
      <c r="I2308" s="2" t="str">
        <f>CLEAN("206")</f>
        <v>206</v>
      </c>
    </row>
    <row r="2309" spans="1:9" x14ac:dyDescent="0.35">
      <c r="A2309" s="2" t="str">
        <f t="shared" si="359"/>
        <v>PORTAGE</v>
      </c>
      <c r="B2309" s="2" t="str">
        <f t="shared" si="360"/>
        <v>PORTAGE COUNTY</v>
      </c>
      <c r="C2309" s="2" t="s">
        <v>2242</v>
      </c>
      <c r="D2309" s="2" t="str">
        <f>CLEAN("6767-02-01")</f>
        <v>6767-02-01</v>
      </c>
      <c r="E2309" s="3" t="str">
        <f>CLEAN("V PLOVER  CTH B")</f>
        <v>V PLOVER  CTH B</v>
      </c>
      <c r="F2309" s="3" t="str">
        <f>CLEAN("HOOVER AVENUE TO IH 39 INTERCHANGE")</f>
        <v>HOOVER AVENUE TO IH 39 INTERCHANGE</v>
      </c>
      <c r="G2309" s="3" t="str">
        <f>CLEAN("DESIGN/PVRPLA")</f>
        <v>DESIGN/PVRPLA</v>
      </c>
      <c r="H2309" s="2" t="str">
        <f>CLEAN("CTH B")</f>
        <v>CTH B</v>
      </c>
      <c r="I2309" s="2" t="str">
        <f>CLEAN("206")</f>
        <v>206</v>
      </c>
    </row>
    <row r="2310" spans="1:9" x14ac:dyDescent="0.35">
      <c r="A2310" s="2" t="str">
        <f t="shared" si="359"/>
        <v>PORTAGE</v>
      </c>
      <c r="B2310" s="2" t="str">
        <f t="shared" si="360"/>
        <v>PORTAGE COUNTY</v>
      </c>
      <c r="C2310" s="2" t="s">
        <v>531</v>
      </c>
      <c r="D2310" s="2" t="str">
        <f>CLEAN("6280-02-76")</f>
        <v>6280-02-76</v>
      </c>
      <c r="E2310" s="3" t="str">
        <f>CLEAN("STEVENS POINT - ROSHOLT")</f>
        <v>STEVENS POINT - ROSHOLT</v>
      </c>
      <c r="F2310" s="3" t="str">
        <f>CLEAN("BRIDGE OVERLAYS B-49-0073  0074")</f>
        <v>BRIDGE OVERLAYS B-49-0073  0074</v>
      </c>
      <c r="G2310" s="3" t="str">
        <f>CLEAN("CONST/CONCRETE OVERLAY")</f>
        <v>CONST/CONCRETE OVERLAY</v>
      </c>
      <c r="H2310" s="2" t="str">
        <f>CLEAN("STH 066")</f>
        <v>STH 066</v>
      </c>
      <c r="I2310" s="2" t="str">
        <f>CLEAN("303")</f>
        <v>303</v>
      </c>
    </row>
    <row r="2311" spans="1:9" x14ac:dyDescent="0.35">
      <c r="A2311" s="2" t="str">
        <f t="shared" si="359"/>
        <v>PORTAGE</v>
      </c>
      <c r="B2311" s="2" t="str">
        <f t="shared" si="360"/>
        <v>PORTAGE COUNTY</v>
      </c>
      <c r="C2311" s="2" t="s">
        <v>784</v>
      </c>
      <c r="D2311" s="2" t="str">
        <f>CLEAN("6767-01-71")</f>
        <v>6767-01-71</v>
      </c>
      <c r="E2311" s="3" t="str">
        <f>CLEAN("V PLOVER  CTH B")</f>
        <v>V PLOVER  CTH B</v>
      </c>
      <c r="F2311" s="3" t="str">
        <f>CLEAN("WISCONSIN AVENUE TO HOOVER AVENUE")</f>
        <v>WISCONSIN AVENUE TO HOOVER AVENUE</v>
      </c>
      <c r="G2311" s="3" t="str">
        <f>CLEAN("CONST/RECONSTRUCT")</f>
        <v>CONST/RECONSTRUCT</v>
      </c>
      <c r="H2311" s="2" t="str">
        <f>CLEAN("CTH B")</f>
        <v>CTH B</v>
      </c>
      <c r="I2311" s="2" t="str">
        <f>CLEAN("206")</f>
        <v>206</v>
      </c>
    </row>
    <row r="2312" spans="1:9" x14ac:dyDescent="0.35">
      <c r="A2312" s="2" t="str">
        <f t="shared" si="359"/>
        <v>PORTAGE</v>
      </c>
      <c r="B2312" s="2" t="str">
        <f t="shared" si="360"/>
        <v>PORTAGE COUNTY</v>
      </c>
      <c r="C2312" s="2" t="s">
        <v>721</v>
      </c>
      <c r="D2312" s="2" t="str">
        <f>CLEAN("6767-02-71")</f>
        <v>6767-02-71</v>
      </c>
      <c r="E2312" s="3" t="str">
        <f>CLEAN("V PLOVER  CTH B")</f>
        <v>V PLOVER  CTH B</v>
      </c>
      <c r="F2312" s="3" t="str">
        <f>CLEAN("HOOVER AVENUE TO IH 39 INTERCHANGE")</f>
        <v>HOOVER AVENUE TO IH 39 INTERCHANGE</v>
      </c>
      <c r="G2312" s="3" t="str">
        <f>CLEAN("CONST/PVRPLA")</f>
        <v>CONST/PVRPLA</v>
      </c>
      <c r="H2312" s="2" t="str">
        <f>CLEAN("CTH B")</f>
        <v>CTH B</v>
      </c>
      <c r="I2312" s="2" t="str">
        <f>CLEAN("206")</f>
        <v>206</v>
      </c>
    </row>
    <row r="2313" spans="1:9" x14ac:dyDescent="0.35">
      <c r="A2313" s="2" t="str">
        <f t="shared" si="359"/>
        <v>PORTAGE</v>
      </c>
      <c r="B2313" s="2" t="str">
        <f t="shared" si="360"/>
        <v>PORTAGE COUNTY</v>
      </c>
      <c r="C2313" s="2" t="s">
        <v>1968</v>
      </c>
      <c r="D2313" s="2" t="str">
        <f>CLEAN("6777-00-00")</f>
        <v>6777-00-00</v>
      </c>
      <c r="E2313" s="3" t="str">
        <f>CLEAN("CTH U - CTH F")</f>
        <v>CTH U - CTH F</v>
      </c>
      <c r="F2313" s="3" t="str">
        <f>CLEAN("FOUR MILE CREEK BRIDGE P-49-0001")</f>
        <v>FOUR MILE CREEK BRIDGE P-49-0001</v>
      </c>
      <c r="G2313" s="3" t="str">
        <f>CLEAN("DESIGN/FULL PSE/REPLACEMENT")</f>
        <v>DESIGN/FULL PSE/REPLACEMENT</v>
      </c>
      <c r="H2313" s="2" t="str">
        <f>CLEAN("CTH WW")</f>
        <v>CTH WW</v>
      </c>
      <c r="I2313" s="2" t="str">
        <f>CLEAN("205")</f>
        <v>205</v>
      </c>
    </row>
    <row r="2314" spans="1:9" x14ac:dyDescent="0.35">
      <c r="A2314" s="2" t="str">
        <f t="shared" si="359"/>
        <v>PORTAGE</v>
      </c>
      <c r="B2314" s="2" t="str">
        <f t="shared" si="360"/>
        <v>PORTAGE COUNTY</v>
      </c>
      <c r="C2314" s="2" t="s">
        <v>893</v>
      </c>
      <c r="D2314" s="2" t="str">
        <f>CLEAN("6777-00-70")</f>
        <v>6777-00-70</v>
      </c>
      <c r="E2314" s="3" t="str">
        <f>CLEAN("CTH U - CTH F")</f>
        <v>CTH U - CTH F</v>
      </c>
      <c r="F2314" s="3" t="str">
        <f>CLEAN("FOUR MILE CREEK BRIDGE B-49-0198")</f>
        <v>FOUR MILE CREEK BRIDGE B-49-0198</v>
      </c>
      <c r="G2314" s="3" t="str">
        <f>CLEAN("CONST/REPLACEMENT")</f>
        <v>CONST/REPLACEMENT</v>
      </c>
      <c r="H2314" s="2" t="str">
        <f>CLEAN("CTH WW")</f>
        <v>CTH WW</v>
      </c>
      <c r="I2314" s="2" t="str">
        <f>CLEAN("205")</f>
        <v>205</v>
      </c>
    </row>
    <row r="2315" spans="1:9" x14ac:dyDescent="0.35">
      <c r="A2315" s="2" t="str">
        <f t="shared" si="359"/>
        <v>PORTAGE</v>
      </c>
      <c r="B2315" s="2" t="str">
        <f t="shared" si="360"/>
        <v>PORTAGE COUNTY</v>
      </c>
      <c r="C2315" s="2" t="s">
        <v>1947</v>
      </c>
      <c r="D2315" s="2" t="str">
        <f>CLEAN("6792-00-00")</f>
        <v>6792-00-00</v>
      </c>
      <c r="E2315" s="3" t="str">
        <f>CLEAN("STH 66 - CTH C")</f>
        <v>STH 66 - CTH C</v>
      </c>
      <c r="F2315" s="3" t="str">
        <f>CLEAN("BEAR CREEK BRIDGE  P-49-0055")</f>
        <v>BEAR CREEK BRIDGE  P-49-0055</v>
      </c>
      <c r="G2315" s="3" t="str">
        <f>CLEAN("DESIGN/FULL PSE/REPLACEMENT")</f>
        <v>DESIGN/FULL PSE/REPLACEMENT</v>
      </c>
      <c r="H2315" s="2" t="str">
        <f>CLEAN("CTH II")</f>
        <v>CTH II</v>
      </c>
      <c r="I2315" s="2" t="str">
        <f>CLEAN("205")</f>
        <v>205</v>
      </c>
    </row>
    <row r="2316" spans="1:9" x14ac:dyDescent="0.35">
      <c r="A2316" s="2" t="str">
        <f t="shared" si="359"/>
        <v>PORTAGE</v>
      </c>
      <c r="B2316" s="2" t="str">
        <f t="shared" si="360"/>
        <v>PORTAGE COUNTY</v>
      </c>
      <c r="C2316" s="2" t="s">
        <v>877</v>
      </c>
      <c r="D2316" s="2" t="str">
        <f>CLEAN("6792-00-70")</f>
        <v>6792-00-70</v>
      </c>
      <c r="E2316" s="3" t="str">
        <f>CLEAN("STH 66 - CTH C")</f>
        <v>STH 66 - CTH C</v>
      </c>
      <c r="F2316" s="3" t="str">
        <f>CLEAN("BEAR CREEK BRIDGE  B-49-0203")</f>
        <v>BEAR CREEK BRIDGE  B-49-0203</v>
      </c>
      <c r="G2316" s="3" t="str">
        <f>CLEAN("CONST/REPLACEMENT")</f>
        <v>CONST/REPLACEMENT</v>
      </c>
      <c r="H2316" s="2" t="str">
        <f>CLEAN("CTH II")</f>
        <v>CTH II</v>
      </c>
      <c r="I2316" s="2" t="str">
        <f>CLEAN("205")</f>
        <v>205</v>
      </c>
    </row>
    <row r="2317" spans="1:9" x14ac:dyDescent="0.35">
      <c r="A2317" s="2" t="str">
        <f t="shared" si="359"/>
        <v>PORTAGE</v>
      </c>
      <c r="B2317" s="2" t="str">
        <f t="shared" si="360"/>
        <v>PORTAGE COUNTY</v>
      </c>
      <c r="C2317" s="2" t="s">
        <v>1940</v>
      </c>
      <c r="D2317" s="2" t="str">
        <f>CLEAN("6808-03-00")</f>
        <v>6808-03-00</v>
      </c>
      <c r="E2317" s="3" t="str">
        <f>CLEAN("STH 54 - USH 10")</f>
        <v>STH 54 - USH 10</v>
      </c>
      <c r="F2317" s="3" t="str">
        <f>CLEAN("STH 54 TO CTH B")</f>
        <v>STH 54 TO CTH B</v>
      </c>
      <c r="G2317" s="3" t="str">
        <f>CLEAN("DESIGN/FULL PSE/RECONSTRUCT")</f>
        <v>DESIGN/FULL PSE/RECONSTRUCT</v>
      </c>
      <c r="H2317" s="2" t="str">
        <f>CLEAN("CTH R")</f>
        <v>CTH R</v>
      </c>
      <c r="I2317" s="2" t="str">
        <f>CLEAN("206")</f>
        <v>206</v>
      </c>
    </row>
    <row r="2318" spans="1:9" x14ac:dyDescent="0.35">
      <c r="A2318" s="2" t="str">
        <f t="shared" ref="A2318:A2323" si="361">CLEAN("PRICE")</f>
        <v>PRICE</v>
      </c>
      <c r="B2318" s="2" t="str">
        <f t="shared" ref="B2318:B2323" si="362">CLEAN("PRICE COUNTY")</f>
        <v>PRICE COUNTY</v>
      </c>
      <c r="C2318" s="2" t="s">
        <v>2022</v>
      </c>
      <c r="D2318" s="2" t="str">
        <f>CLEAN("9892-07-02")</f>
        <v>9892-07-02</v>
      </c>
      <c r="E2318" s="3" t="str">
        <f>CLEAN("V PRENTICE  CTH A SOUTH")</f>
        <v>V PRENTICE  CTH A SOUTH</v>
      </c>
      <c r="F2318" s="3" t="str">
        <f>CLEAN("STH 13 TO USH 8")</f>
        <v>STH 13 TO USH 8</v>
      </c>
      <c r="G2318" s="3" t="str">
        <f>CLEAN("DESIGN/FULL PSE/RESURFACE")</f>
        <v>DESIGN/FULL PSE/RESURFACE</v>
      </c>
      <c r="H2318" s="2" t="str">
        <f>CLEAN("CTH A")</f>
        <v>CTH A</v>
      </c>
      <c r="I2318" s="2" t="str">
        <f>CLEAN("206")</f>
        <v>206</v>
      </c>
    </row>
    <row r="2319" spans="1:9" x14ac:dyDescent="0.35">
      <c r="A2319" s="2" t="str">
        <f t="shared" si="361"/>
        <v>PRICE</v>
      </c>
      <c r="B2319" s="2" t="str">
        <f t="shared" si="362"/>
        <v>PRICE COUNTY</v>
      </c>
      <c r="C2319" s="2" t="s">
        <v>1725</v>
      </c>
      <c r="D2319" s="2" t="str">
        <f>CLEAN("8700-00-00")</f>
        <v>8700-00-00</v>
      </c>
      <c r="E2319" s="3" t="str">
        <f>CLEAN("CTH M - USH 8")</f>
        <v>CTH M - USH 8</v>
      </c>
      <c r="F2319" s="3" t="str">
        <f>CLEAN("SOUTH FORK JUMP RIVER  B-50-0006")</f>
        <v>SOUTH FORK JUMP RIVER  B-50-0006</v>
      </c>
      <c r="G2319" s="3" t="str">
        <f>CLEAN("DESIGN OVERSITE/REPLACEMENT")</f>
        <v>DESIGN OVERSITE/REPLACEMENT</v>
      </c>
      <c r="H2319" s="2" t="str">
        <f>CLEAN("CTH O")</f>
        <v>CTH O</v>
      </c>
      <c r="I2319" s="2" t="str">
        <f>CLEAN("205")</f>
        <v>205</v>
      </c>
    </row>
    <row r="2320" spans="1:9" x14ac:dyDescent="0.35">
      <c r="A2320" s="2" t="str">
        <f t="shared" si="361"/>
        <v>PRICE</v>
      </c>
      <c r="B2320" s="2" t="str">
        <f t="shared" si="362"/>
        <v>PRICE COUNTY</v>
      </c>
      <c r="C2320" s="2" t="s">
        <v>929</v>
      </c>
      <c r="D2320" s="2" t="str">
        <f>CLEAN("8700-00-70")</f>
        <v>8700-00-70</v>
      </c>
      <c r="E2320" s="3" t="str">
        <f>CLEAN("CTH M - USH 8")</f>
        <v>CTH M - USH 8</v>
      </c>
      <c r="F2320" s="3" t="str">
        <f>CLEAN("SOUTH FORK JUMP RIVER  B-50-0095")</f>
        <v>SOUTH FORK JUMP RIVER  B-50-0095</v>
      </c>
      <c r="G2320" s="3" t="str">
        <f>CLEAN("CONST/REPLACEMENT")</f>
        <v>CONST/REPLACEMENT</v>
      </c>
      <c r="H2320" s="2" t="str">
        <f>CLEAN("CTH O")</f>
        <v>CTH O</v>
      </c>
      <c r="I2320" s="2" t="str">
        <f>CLEAN("205")</f>
        <v>205</v>
      </c>
    </row>
    <row r="2321" spans="1:9" x14ac:dyDescent="0.35">
      <c r="A2321" s="2" t="str">
        <f t="shared" si="361"/>
        <v>PRICE</v>
      </c>
      <c r="B2321" s="2" t="str">
        <f t="shared" si="362"/>
        <v>PRICE COUNTY</v>
      </c>
      <c r="C2321" s="2" t="s">
        <v>1985</v>
      </c>
      <c r="D2321" s="2" t="str">
        <f>CLEAN("9477-00-00")</f>
        <v>9477-00-00</v>
      </c>
      <c r="E2321" s="3" t="str">
        <f>CLEAN("STH 86 - USH 8")</f>
        <v>STH 86 - USH 8</v>
      </c>
      <c r="F2321" s="3" t="str">
        <f>CLEAN("N FORK SPIRIT RIVER  P-50-0910")</f>
        <v>N FORK SPIRIT RIVER  P-50-0910</v>
      </c>
      <c r="G2321" s="3" t="str">
        <f>CLEAN("DESIGN/FULL PSE/REPLACEMENT")</f>
        <v>DESIGN/FULL PSE/REPLACEMENT</v>
      </c>
      <c r="H2321" s="2" t="str">
        <f>CLEAN("CTH D")</f>
        <v>CTH D</v>
      </c>
      <c r="I2321" s="2" t="str">
        <f>CLEAN("205")</f>
        <v>205</v>
      </c>
    </row>
    <row r="2322" spans="1:9" x14ac:dyDescent="0.35">
      <c r="A2322" s="2" t="str">
        <f t="shared" si="361"/>
        <v>PRICE</v>
      </c>
      <c r="B2322" s="2" t="str">
        <f t="shared" si="362"/>
        <v>PRICE COUNTY</v>
      </c>
      <c r="C2322" s="2" t="s">
        <v>2027</v>
      </c>
      <c r="D2322" s="2" t="str">
        <f>CLEAN("9488-02-00")</f>
        <v>9488-02-00</v>
      </c>
      <c r="E2322" s="3" t="str">
        <f>CLEAN("PHILLIPS - EMERY")</f>
        <v>PHILLIPS - EMERY</v>
      </c>
      <c r="F2322" s="3" t="str">
        <f>CLEAN("PARK DRIVE TO MINK DRIVE")</f>
        <v>PARK DRIVE TO MINK DRIVE</v>
      </c>
      <c r="G2322" s="3" t="str">
        <f>CLEAN("DESIGN/HSIP")</f>
        <v>DESIGN/HSIP</v>
      </c>
      <c r="H2322" s="2" t="str">
        <f>CLEAN("CTH D")</f>
        <v>CTH D</v>
      </c>
      <c r="I2322" s="2" t="str">
        <f>CLEAN("206")</f>
        <v>206</v>
      </c>
    </row>
    <row r="2323" spans="1:9" x14ac:dyDescent="0.35">
      <c r="A2323" s="2" t="str">
        <f t="shared" si="361"/>
        <v>PRICE</v>
      </c>
      <c r="B2323" s="2" t="str">
        <f t="shared" si="362"/>
        <v>PRICE COUNTY</v>
      </c>
      <c r="C2323" s="2" t="s">
        <v>566</v>
      </c>
      <c r="D2323" s="2" t="str">
        <f>CLEAN("9488-02-70")</f>
        <v>9488-02-70</v>
      </c>
      <c r="E2323" s="3" t="str">
        <f>CLEAN("PHILLIPS - EMERY")</f>
        <v>PHILLIPS - EMERY</v>
      </c>
      <c r="F2323" s="3" t="str">
        <f>CLEAN("PARK DRIVE TO MINK DRIVE")</f>
        <v>PARK DRIVE TO MINK DRIVE</v>
      </c>
      <c r="G2323" s="3" t="str">
        <f>CLEAN("CONST/HSIP")</f>
        <v>CONST/HSIP</v>
      </c>
      <c r="H2323" s="2" t="str">
        <f>CLEAN("CTH D")</f>
        <v>CTH D</v>
      </c>
      <c r="I2323" s="2" t="str">
        <f>CLEAN("206")</f>
        <v>206</v>
      </c>
    </row>
    <row r="2324" spans="1:9" x14ac:dyDescent="0.35">
      <c r="A2324" s="2" t="str">
        <f>CLEAN("CHIPPEWA")</f>
        <v>CHIPPEWA</v>
      </c>
      <c r="B2324" s="2" t="str">
        <f>CLEAN("PROGRESSIVE RAIL INCORPORATED")</f>
        <v>PROGRESSIVE RAIL INCORPORATED</v>
      </c>
      <c r="C2324" s="2" t="s">
        <v>3124</v>
      </c>
      <c r="D2324" s="2" t="str">
        <f>CLEAN("8190-00-51")</f>
        <v>8190-00-51</v>
      </c>
      <c r="E2324" s="3" t="str">
        <f>CLEAN("CONNORSVILLE - BLOOMER")</f>
        <v>CONNORSVILLE - BLOOMER</v>
      </c>
      <c r="F2324" s="3" t="str">
        <f>CLEAN("PROGRESSIVE RAIL RR XING 186025K")</f>
        <v>PROGRESSIVE RAIL RR XING 186025K</v>
      </c>
      <c r="G2324" s="3" t="str">
        <f>CLEAN("RAIL OP/RHCSP/CONCRETE XING SURFACE")</f>
        <v>RAIL OP/RHCSP/CONCRETE XING SURFACE</v>
      </c>
      <c r="H2324" s="2" t="str">
        <f>CLEAN("STH 064")</f>
        <v>STH 064</v>
      </c>
      <c r="I2324" s="2" t="str">
        <f>CLEAN("207")</f>
        <v>207</v>
      </c>
    </row>
    <row r="2325" spans="1:9" x14ac:dyDescent="0.35">
      <c r="A2325" s="2" t="str">
        <f>CLEAN("CHIPPEWA")</f>
        <v>CHIPPEWA</v>
      </c>
      <c r="B2325" s="2" t="str">
        <f>CLEAN("PROGRESSIVE RAIL INCORPORATED")</f>
        <v>PROGRESSIVE RAIL INCORPORATED</v>
      </c>
      <c r="C2325" s="2" t="s">
        <v>3116</v>
      </c>
      <c r="D2325" s="2" t="str">
        <f>CLEAN("8912-00-50")</f>
        <v>8912-00-50</v>
      </c>
      <c r="E2325" s="3" t="str">
        <f>CLEAN("C BLOOMER  15TH AVE")</f>
        <v>C BLOOMER  15TH AVE</v>
      </c>
      <c r="F2325" s="3" t="str">
        <f>CLEAN("PROGRESSIVE RR XING 186013R")</f>
        <v>PROGRESSIVE RR XING 186013R</v>
      </c>
      <c r="G2325" s="3" t="str">
        <f>CLEAN("R/R OPS/SAFETY RAIL WARNING DEVICES")</f>
        <v>R/R OPS/SAFETY RAIL WARNING DEVICES</v>
      </c>
      <c r="H2325" s="2" t="str">
        <f>CLEAN("LOC STR")</f>
        <v>LOC STR</v>
      </c>
      <c r="I2325" s="2" t="str">
        <f>CLEAN("207")</f>
        <v>207</v>
      </c>
    </row>
    <row r="2326" spans="1:9" x14ac:dyDescent="0.35">
      <c r="A2326" s="2" t="str">
        <f>CLEAN("CHIPPEWA")</f>
        <v>CHIPPEWA</v>
      </c>
      <c r="B2326" s="2" t="str">
        <f>CLEAN("PROGRESSIVE RAIL INCORPORATED")</f>
        <v>PROGRESSIVE RAIL INCORPORATED</v>
      </c>
      <c r="C2326" s="2" t="s">
        <v>3117</v>
      </c>
      <c r="D2326" s="2" t="str">
        <f>CLEAN("8912-00-51")</f>
        <v>8912-00-51</v>
      </c>
      <c r="E2326" s="3" t="str">
        <f>CLEAN("C BLOOMER  190TH AVE (TOWNLINE RD)")</f>
        <v>C BLOOMER  190TH AVE (TOWNLINE RD)</v>
      </c>
      <c r="F2326" s="3" t="str">
        <f>CLEAN("PROGRESSIVE RR XING 186024D")</f>
        <v>PROGRESSIVE RR XING 186024D</v>
      </c>
      <c r="G2326" s="3" t="str">
        <f>CLEAN("R/R OPS/SAFETY RAIL WARNING DEVICES")</f>
        <v>R/R OPS/SAFETY RAIL WARNING DEVICES</v>
      </c>
      <c r="H2326" s="2" t="str">
        <f>CLEAN("LOC STR")</f>
        <v>LOC STR</v>
      </c>
      <c r="I2326" s="2" t="str">
        <f>CLEAN("207")</f>
        <v>207</v>
      </c>
    </row>
    <row r="2327" spans="1:9" x14ac:dyDescent="0.35">
      <c r="A2327" s="2" t="str">
        <f t="shared" ref="A2327:A2335" si="363">CLEAN("RACINE")</f>
        <v>RACINE</v>
      </c>
      <c r="B2327" s="2" t="str">
        <f t="shared" ref="B2327:B2335" si="364">CLEAN("RACINE COUNTY")</f>
        <v>RACINE COUNTY</v>
      </c>
      <c r="C2327" s="2" t="s">
        <v>2663</v>
      </c>
      <c r="D2327" s="2" t="str">
        <f>CLEAN("2390-09-03")</f>
        <v>2390-09-03</v>
      </c>
      <c r="E2327" s="3" t="str">
        <f>CLEAN("CTH C")</f>
        <v>CTH C</v>
      </c>
      <c r="F2327" s="3" t="str">
        <f>CLEAN("N OHIO STREET TO FAIRWAY DRIVE")</f>
        <v>N OHIO STREET TO FAIRWAY DRIVE</v>
      </c>
      <c r="G2327" s="3" t="str">
        <f>CLEAN("PE/DESIGN OVERSIGHT")</f>
        <v>PE/DESIGN OVERSIGHT</v>
      </c>
      <c r="H2327" s="2" t="str">
        <f>CLEAN("CTH C")</f>
        <v>CTH C</v>
      </c>
      <c r="I2327" s="2" t="str">
        <f t="shared" ref="I2327:I2334" si="365">CLEAN("206")</f>
        <v>206</v>
      </c>
    </row>
    <row r="2328" spans="1:9" x14ac:dyDescent="0.35">
      <c r="A2328" s="2" t="str">
        <f t="shared" si="363"/>
        <v>RACINE</v>
      </c>
      <c r="B2328" s="2" t="str">
        <f t="shared" si="364"/>
        <v>RACINE COUNTY</v>
      </c>
      <c r="C2328" s="2" t="s">
        <v>2778</v>
      </c>
      <c r="D2328" s="2" t="str">
        <f>CLEAN("2803-03-01")</f>
        <v>2803-03-01</v>
      </c>
      <c r="E2328" s="3" t="str">
        <f>CLEAN("V RAYMOND - 76TH ST")</f>
        <v>V RAYMOND - 76TH ST</v>
      </c>
      <c r="F2328" s="3" t="str">
        <f>CLEAN("INTERSECTION WITH CTH G")</f>
        <v>INTERSECTION WITH CTH G</v>
      </c>
      <c r="G2328" s="3" t="str">
        <f>CLEAN("PE/FULL PS&amp;E/SAFETY")</f>
        <v>PE/FULL PS&amp;E/SAFETY</v>
      </c>
      <c r="H2328" s="2" t="str">
        <f>CLEAN("CTH U")</f>
        <v>CTH U</v>
      </c>
      <c r="I2328" s="2" t="str">
        <f t="shared" si="365"/>
        <v>206</v>
      </c>
    </row>
    <row r="2329" spans="1:9" x14ac:dyDescent="0.35">
      <c r="A2329" s="2" t="str">
        <f t="shared" si="363"/>
        <v>RACINE</v>
      </c>
      <c r="B2329" s="2" t="str">
        <f t="shared" si="364"/>
        <v>RACINE COUNTY</v>
      </c>
      <c r="C2329" s="2" t="s">
        <v>2888</v>
      </c>
      <c r="D2329" s="2" t="str">
        <f>CLEAN("2804-03-02")</f>
        <v>2804-03-02</v>
      </c>
      <c r="E2329" s="3" t="str">
        <f>CLEAN("V CALEDONIA  NORTHWESTERN AVE")</f>
        <v>V CALEDONIA  NORTHWESTERN AVE</v>
      </c>
      <c r="F2329" s="3" t="str">
        <f>CLEAN("INTERSECTION WITH CTH V")</f>
        <v>INTERSECTION WITH CTH V</v>
      </c>
      <c r="G2329" s="3" t="str">
        <f>CLEAN("PE/FULL PSEW ROW /RECST")</f>
        <v>PE/FULL PSEW ROW /RECST</v>
      </c>
      <c r="H2329" s="2" t="str">
        <f>CLEAN("CTH K")</f>
        <v>CTH K</v>
      </c>
      <c r="I2329" s="2" t="str">
        <f t="shared" si="365"/>
        <v>206</v>
      </c>
    </row>
    <row r="2330" spans="1:9" x14ac:dyDescent="0.35">
      <c r="A2330" s="2" t="str">
        <f t="shared" si="363"/>
        <v>RACINE</v>
      </c>
      <c r="B2330" s="2" t="str">
        <f t="shared" si="364"/>
        <v>RACINE COUNTY</v>
      </c>
      <c r="C2330" s="2" t="s">
        <v>791</v>
      </c>
      <c r="D2330" s="2" t="str">
        <f>CLEAN("2390-09-73")</f>
        <v>2390-09-73</v>
      </c>
      <c r="E2330" s="3" t="str">
        <f>CLEAN("MOUNT PLEASANT - RACINE")</f>
        <v>MOUNT PLEASANT - RACINE</v>
      </c>
      <c r="F2330" s="3" t="str">
        <f>CLEAN("NORTH OHIO STREET TO FAIRWAY DRIVE")</f>
        <v>NORTH OHIO STREET TO FAIRWAY DRIVE</v>
      </c>
      <c r="G2330" s="3" t="str">
        <f>CLEAN("CONST/RECONSTRUCT NO ADDED CAPACITY")</f>
        <v>CONST/RECONSTRUCT NO ADDED CAPACITY</v>
      </c>
      <c r="H2330" s="2" t="str">
        <f>CLEAN("CTH C")</f>
        <v>CTH C</v>
      </c>
      <c r="I2330" s="2" t="str">
        <f t="shared" si="365"/>
        <v>206</v>
      </c>
    </row>
    <row r="2331" spans="1:9" x14ac:dyDescent="0.35">
      <c r="A2331" s="2" t="str">
        <f t="shared" si="363"/>
        <v>RACINE</v>
      </c>
      <c r="B2331" s="2" t="str">
        <f t="shared" si="364"/>
        <v>RACINE COUNTY</v>
      </c>
      <c r="C2331" s="2" t="s">
        <v>827</v>
      </c>
      <c r="D2331" s="2" t="str">
        <f>CLEAN("2803-03-71")</f>
        <v>2803-03-71</v>
      </c>
      <c r="E2331" s="3" t="str">
        <f>CLEAN("V RAYMOND - 76TH ST")</f>
        <v>V RAYMOND - 76TH ST</v>
      </c>
      <c r="F2331" s="3" t="str">
        <f>CLEAN("INTERSECTION WITH CTH G")</f>
        <v>INTERSECTION WITH CTH G</v>
      </c>
      <c r="G2331" s="3" t="str">
        <f>CLEAN("CONST/RECST")</f>
        <v>CONST/RECST</v>
      </c>
      <c r="H2331" s="2" t="str">
        <f>CLEAN("CTH U")</f>
        <v>CTH U</v>
      </c>
      <c r="I2331" s="2" t="str">
        <f t="shared" si="365"/>
        <v>206</v>
      </c>
    </row>
    <row r="2332" spans="1:9" x14ac:dyDescent="0.35">
      <c r="A2332" s="2" t="str">
        <f t="shared" si="363"/>
        <v>RACINE</v>
      </c>
      <c r="B2332" s="2" t="str">
        <f t="shared" si="364"/>
        <v>RACINE COUNTY</v>
      </c>
      <c r="C2332" s="2" t="s">
        <v>2942</v>
      </c>
      <c r="D2332" s="2" t="str">
        <f>CLEAN("2808-00-00")</f>
        <v>2808-00-00</v>
      </c>
      <c r="E2332" s="3" t="str">
        <f>CLEAN("CTH MM")</f>
        <v>CTH MM</v>
      </c>
      <c r="F2332" s="3" t="str">
        <f>CLEAN("STH 31 TO STH 38")</f>
        <v>STH 31 TO STH 38</v>
      </c>
      <c r="G2332" s="3" t="str">
        <f>CLEAN("PE/RECONSTRUCT")</f>
        <v>PE/RECONSTRUCT</v>
      </c>
      <c r="H2332" s="2" t="str">
        <f>CLEAN("CTH MM")</f>
        <v>CTH MM</v>
      </c>
      <c r="I2332" s="2" t="str">
        <f t="shared" si="365"/>
        <v>206</v>
      </c>
    </row>
    <row r="2333" spans="1:9" x14ac:dyDescent="0.35">
      <c r="A2333" s="2" t="str">
        <f t="shared" si="363"/>
        <v>RACINE</v>
      </c>
      <c r="B2333" s="2" t="str">
        <f t="shared" si="364"/>
        <v>RACINE COUNTY</v>
      </c>
      <c r="C2333" s="2" t="s">
        <v>2680</v>
      </c>
      <c r="D2333" s="2" t="str">
        <f>CLEAN("2814-03-00")</f>
        <v>2814-03-00</v>
      </c>
      <c r="E2333" s="3" t="str">
        <f>CLEAN("V ROCHESTER CTH A")</f>
        <v>V ROCHESTER CTH A</v>
      </c>
      <c r="F2333" s="3" t="str">
        <f>CLEAN("INTERSECTION WITH CTH J")</f>
        <v>INTERSECTION WITH CTH J</v>
      </c>
      <c r="G2333" s="3" t="str">
        <f>CLEAN("PE/FULL PS&amp;E - HSIP")</f>
        <v>PE/FULL PS&amp;E - HSIP</v>
      </c>
      <c r="H2333" s="2" t="str">
        <f>CLEAN("CTH J")</f>
        <v>CTH J</v>
      </c>
      <c r="I2333" s="2" t="str">
        <f t="shared" si="365"/>
        <v>206</v>
      </c>
    </row>
    <row r="2334" spans="1:9" x14ac:dyDescent="0.35">
      <c r="A2334" s="2" t="str">
        <f t="shared" si="363"/>
        <v>RACINE</v>
      </c>
      <c r="B2334" s="2" t="str">
        <f t="shared" si="364"/>
        <v>RACINE COUNTY</v>
      </c>
      <c r="C2334" s="2" t="s">
        <v>563</v>
      </c>
      <c r="D2334" s="2" t="str">
        <f>CLEAN("2814-03-70")</f>
        <v>2814-03-70</v>
      </c>
      <c r="E2334" s="3" t="str">
        <f>CLEAN("V ROCHESTER CTH A")</f>
        <v>V ROCHESTER CTH A</v>
      </c>
      <c r="F2334" s="3" t="str">
        <f>CLEAN("INTERSECTION WITH CTH J")</f>
        <v>INTERSECTION WITH CTH J</v>
      </c>
      <c r="G2334" s="3" t="str">
        <f>CLEAN("CONST/HSIP")</f>
        <v>CONST/HSIP</v>
      </c>
      <c r="H2334" s="2" t="str">
        <f>CLEAN("CTH J")</f>
        <v>CTH J</v>
      </c>
      <c r="I2334" s="2" t="str">
        <f t="shared" si="365"/>
        <v>206</v>
      </c>
    </row>
    <row r="2335" spans="1:9" x14ac:dyDescent="0.35">
      <c r="A2335" s="2" t="str">
        <f t="shared" si="363"/>
        <v>RACINE</v>
      </c>
      <c r="B2335" s="2" t="str">
        <f t="shared" si="364"/>
        <v>RACINE COUNTY</v>
      </c>
      <c r="C2335" s="2" t="s">
        <v>753</v>
      </c>
      <c r="D2335" s="2" t="str">
        <f>CLEAN("3763-00-74")</f>
        <v>3763-00-74</v>
      </c>
      <c r="E2335" s="3" t="str">
        <f>CLEAN("CTH KR  V MT PLEASANT")</f>
        <v>CTH KR  V MT PLEASANT</v>
      </c>
      <c r="F2335" s="3" t="str">
        <f>CLEAN("CTH H TO OLD GREENBAY ROAD")</f>
        <v>CTH H TO OLD GREENBAY ROAD</v>
      </c>
      <c r="G2335" s="3" t="str">
        <f>CLEAN("CONST/RECONST W/ ADDED CAPACITY")</f>
        <v>CONST/RECONST W/ ADDED CAPACITY</v>
      </c>
      <c r="H2335" s="2" t="str">
        <f>CLEAN("CTH KR")</f>
        <v>CTH KR</v>
      </c>
      <c r="I2335" s="2" t="str">
        <f>CLEAN("303")</f>
        <v>303</v>
      </c>
    </row>
    <row r="2336" spans="1:9" x14ac:dyDescent="0.35">
      <c r="A2336" s="2" t="str">
        <f>CLEAN("BAYFIELD")</f>
        <v>BAYFIELD</v>
      </c>
      <c r="B2336" s="2" t="str">
        <f>CLEAN("RED CLIFF TRIBAL COUNCIL OF LAKE SUPERIOR")</f>
        <v>RED CLIFF TRIBAL COUNCIL OF LAKE SUPERIOR</v>
      </c>
      <c r="C2336" s="2" t="s">
        <v>3080</v>
      </c>
      <c r="D2336" s="2" t="str">
        <f>CLEAN("8357-00-00")</f>
        <v>8357-00-00</v>
      </c>
      <c r="E2336" s="3" t="str">
        <f>CLEAN("RED CLIFF NATION  TRAILS PLAN")</f>
        <v>RED CLIFF NATION  TRAILS PLAN</v>
      </c>
      <c r="F2336" s="3" t="str">
        <f>CLEAN("BAYFIELD SCHOOL DISTRICT SA")</f>
        <v>BAYFIELD SCHOOL DISTRICT SA</v>
      </c>
      <c r="G2336" s="3" t="str">
        <f>CLEAN("PLANNING/BICYCLE-PED PLANNING STUDY")</f>
        <v>PLANNING/BICYCLE-PED PLANNING STUDY</v>
      </c>
      <c r="H2336" s="2" t="str">
        <f>CLEAN("OFF SYS")</f>
        <v>OFF SYS</v>
      </c>
      <c r="I2336" s="2" t="str">
        <f>CLEAN("290")</f>
        <v>290</v>
      </c>
    </row>
    <row r="2337" spans="1:9" x14ac:dyDescent="0.35">
      <c r="A2337" s="2" t="str">
        <f t="shared" ref="A2337:A2342" si="366">CLEAN("RICHLAND")</f>
        <v>RICHLAND</v>
      </c>
      <c r="B2337" s="2" t="str">
        <f>CLEAN("RICHLAND COUNTY")</f>
        <v>RICHLAND COUNTY</v>
      </c>
      <c r="C2337" s="2" t="s">
        <v>2185</v>
      </c>
      <c r="D2337" s="2" t="str">
        <f>CLEAN("5419-06-01")</f>
        <v>5419-06-01</v>
      </c>
      <c r="E2337" s="3" t="str">
        <f>CLEAN("STH 80 - RICHLAND CENTER")</f>
        <v>STH 80 - RICHLAND CENTER</v>
      </c>
      <c r="F2337" s="3" t="str">
        <f>CLEAN("CTH OO TO USH 14")</f>
        <v>CTH OO TO USH 14</v>
      </c>
      <c r="G2337" s="3" t="str">
        <f>CLEAN("DESIGN/PLAN CHECK REVIEW/RECST")</f>
        <v>DESIGN/PLAN CHECK REVIEW/RECST</v>
      </c>
      <c r="H2337" s="2" t="str">
        <f>CLEAN("CTH O")</f>
        <v>CTH O</v>
      </c>
      <c r="I2337" s="2" t="str">
        <f>CLEAN("206")</f>
        <v>206</v>
      </c>
    </row>
    <row r="2338" spans="1:9" x14ac:dyDescent="0.35">
      <c r="A2338" s="2" t="str">
        <f t="shared" si="366"/>
        <v>RICHLAND</v>
      </c>
      <c r="B2338" s="2" t="str">
        <f>CLEAN("RICHLAND COUNTY")</f>
        <v>RICHLAND COUNTY</v>
      </c>
      <c r="C2338" s="2" t="s">
        <v>241</v>
      </c>
      <c r="D2338" s="2" t="str">
        <f>CLEAN("5419-06-70")</f>
        <v>5419-06-70</v>
      </c>
      <c r="E2338" s="3" t="str">
        <f>CLEAN("STH 80 - RICHLAND CENTER")</f>
        <v>STH 80 - RICHLAND CENTER</v>
      </c>
      <c r="F2338" s="3" t="str">
        <f>CLEAN("CTH OO TO CARDINAL CREST ROAD")</f>
        <v>CTH OO TO CARDINAL CREST ROAD</v>
      </c>
      <c r="G2338" s="3" t="str">
        <f>CLEAN("CONST OPS/RECONSTRUCTION")</f>
        <v>CONST OPS/RECONSTRUCTION</v>
      </c>
      <c r="H2338" s="2" t="str">
        <f>CLEAN("CTH O")</f>
        <v>CTH O</v>
      </c>
      <c r="I2338" s="2" t="str">
        <f>CLEAN("206")</f>
        <v>206</v>
      </c>
    </row>
    <row r="2339" spans="1:9" x14ac:dyDescent="0.35">
      <c r="A2339" s="2" t="str">
        <f t="shared" si="366"/>
        <v>RICHLAND</v>
      </c>
      <c r="B2339" s="2" t="str">
        <f>CLEAN("RICHLAND COUNTY")</f>
        <v>RICHLAND COUNTY</v>
      </c>
      <c r="C2339" s="2" t="s">
        <v>236</v>
      </c>
      <c r="D2339" s="2" t="str">
        <f>CLEAN("5419-06-73")</f>
        <v>5419-06-73</v>
      </c>
      <c r="E2339" s="3" t="str">
        <f>CLEAN("STH 80 - RICHLAND CENTER (CTH O)")</f>
        <v>STH 80 - RICHLAND CENTER (CTH O)</v>
      </c>
      <c r="F2339" s="3" t="str">
        <f>CLEAN("CARDINAL CREST ROAD TO USH 14")</f>
        <v>CARDINAL CREST ROAD TO USH 14</v>
      </c>
      <c r="G2339" s="3" t="str">
        <f>CLEAN("CONST OPS/RECONSTRUCTION")</f>
        <v>CONST OPS/RECONSTRUCTION</v>
      </c>
      <c r="H2339" s="2" t="str">
        <f>CLEAN("CTH O")</f>
        <v>CTH O</v>
      </c>
      <c r="I2339" s="2" t="str">
        <f>CLEAN("206")</f>
        <v>206</v>
      </c>
    </row>
    <row r="2340" spans="1:9" x14ac:dyDescent="0.35">
      <c r="A2340" s="2" t="str">
        <f t="shared" si="366"/>
        <v>RICHLAND</v>
      </c>
      <c r="B2340" s="2" t="str">
        <f>CLEAN("RICHLAND COUNTY")</f>
        <v>RICHLAND COUNTY</v>
      </c>
      <c r="C2340" s="2" t="s">
        <v>437</v>
      </c>
      <c r="D2340" s="2" t="str">
        <f>CLEAN("5455-00-70")</f>
        <v>5455-00-70</v>
      </c>
      <c r="E2340" s="3" t="str">
        <f>CLEAN("STH 56 - CTH I")</f>
        <v>STH 56 - CTH I</v>
      </c>
      <c r="F2340" s="3" t="str">
        <f>CLEAN("GAULT HOLLOW CREEK BRIDGE B-52-0280")</f>
        <v>GAULT HOLLOW CREEK BRIDGE B-52-0280</v>
      </c>
      <c r="G2340" s="3" t="str">
        <f>CLEAN("CONST/BRIDGE REPLACEMENT")</f>
        <v>CONST/BRIDGE REPLACEMENT</v>
      </c>
      <c r="H2340" s="2" t="str">
        <f>CLEAN("CTH H")</f>
        <v>CTH H</v>
      </c>
      <c r="I2340" s="2" t="str">
        <f>CLEAN("205")</f>
        <v>205</v>
      </c>
    </row>
    <row r="2341" spans="1:9" x14ac:dyDescent="0.35">
      <c r="A2341" s="2" t="str">
        <f t="shared" si="366"/>
        <v>RICHLAND</v>
      </c>
      <c r="B2341" s="2" t="str">
        <f>CLEAN("RICHLAND COUNTY")</f>
        <v>RICHLAND COUNTY</v>
      </c>
      <c r="C2341" s="2" t="s">
        <v>1764</v>
      </c>
      <c r="D2341" s="2" t="str">
        <f>CLEAN("5519-00-00")</f>
        <v>5519-00-00</v>
      </c>
      <c r="E2341" s="3" t="str">
        <f>CLEAN("CTH BB - STH 130")</f>
        <v>CTH BB - STH 130</v>
      </c>
      <c r="F2341" s="3" t="str">
        <f>CLEAN("BRANCH BEAR CREEK BRIDGE  B-52-0019")</f>
        <v>BRANCH BEAR CREEK BRIDGE  B-52-0019</v>
      </c>
      <c r="G2341" s="3" t="str">
        <f>CLEAN("DESIGN/BRIDGE REPLACEMENT")</f>
        <v>DESIGN/BRIDGE REPLACEMENT</v>
      </c>
      <c r="H2341" s="2" t="str">
        <f>CLEAN("CTH B")</f>
        <v>CTH B</v>
      </c>
      <c r="I2341" s="2" t="str">
        <f>CLEAN("205")</f>
        <v>205</v>
      </c>
    </row>
    <row r="2342" spans="1:9" x14ac:dyDescent="0.35">
      <c r="A2342" s="2" t="str">
        <f t="shared" si="366"/>
        <v>RICHLAND</v>
      </c>
      <c r="B2342" s="2" t="str">
        <f>CLEAN("RICHLAND SCHOOL DISTRICT")</f>
        <v>RICHLAND SCHOOL DISTRICT</v>
      </c>
      <c r="C2342" s="2" t="s">
        <v>1501</v>
      </c>
      <c r="D2342" s="2" t="str">
        <f>CLEAN("5365-00-03")</f>
        <v>5365-00-03</v>
      </c>
      <c r="E2342" s="3" t="str">
        <f>CLEAN("C RICHLAND CENTER  MULTI-USE PATH")</f>
        <v>C RICHLAND CENTER  MULTI-USE PATH</v>
      </c>
      <c r="F2342" s="3" t="str">
        <f>CLEAN("CTH OO TO USH 14")</f>
        <v>CTH OO TO USH 14</v>
      </c>
      <c r="G2342" s="3" t="str">
        <f>CLEAN("DESIGN - FULL PS&amp;E MUTLI-USE PATH")</f>
        <v>DESIGN - FULL PS&amp;E MUTLI-USE PATH</v>
      </c>
      <c r="H2342" s="2" t="str">
        <f>CLEAN("NON HWY")</f>
        <v>NON HWY</v>
      </c>
      <c r="I2342" s="2" t="str">
        <f>CLEAN("290")</f>
        <v>290</v>
      </c>
    </row>
    <row r="2343" spans="1:9" x14ac:dyDescent="0.35">
      <c r="A2343" s="2" t="str">
        <f t="shared" ref="A2343:A2364" si="367">CLEAN("ROCK")</f>
        <v>ROCK</v>
      </c>
      <c r="B2343" s="2" t="str">
        <f t="shared" ref="B2343:B2364" si="368">CLEAN("ROCK COUNTY")</f>
        <v>ROCK COUNTY</v>
      </c>
      <c r="C2343" s="2" t="s">
        <v>1428</v>
      </c>
      <c r="D2343" s="2" t="str">
        <f>CLEAN("5765-01-03")</f>
        <v>5765-01-03</v>
      </c>
      <c r="E2343" s="3" t="str">
        <f>CLEAN("T OF CENTER  N FOOTVILLE RD")</f>
        <v>T OF CENTER  N FOOTVILLE RD</v>
      </c>
      <c r="F2343" s="3" t="str">
        <f>CLEAN("BR STEVENS CREEK BRIDGE P-53-0930")</f>
        <v>BR STEVENS CREEK BRIDGE P-53-0930</v>
      </c>
      <c r="G2343" s="3" t="str">
        <f>CLEAN("DESIGN - FULL PS&amp;E BRRPL")</f>
        <v>DESIGN - FULL PS&amp;E BRRPL</v>
      </c>
      <c r="H2343" s="2" t="str">
        <f>CLEAN("LOC STR")</f>
        <v>LOC STR</v>
      </c>
      <c r="I2343" s="2" t="str">
        <f>CLEAN("205")</f>
        <v>205</v>
      </c>
    </row>
    <row r="2344" spans="1:9" x14ac:dyDescent="0.35">
      <c r="A2344" s="2" t="str">
        <f t="shared" si="367"/>
        <v>ROCK</v>
      </c>
      <c r="B2344" s="2" t="str">
        <f t="shared" si="368"/>
        <v>ROCK COUNTY</v>
      </c>
      <c r="C2344" s="2" t="s">
        <v>2160</v>
      </c>
      <c r="D2344" s="2" t="str">
        <f>CLEAN("5798-01-04")</f>
        <v>5798-01-04</v>
      </c>
      <c r="E2344" s="3" t="str">
        <f>CLEAN("JANESVILLE - EDGERTON")</f>
        <v>JANESVILLE - EDGERTON</v>
      </c>
      <c r="F2344" s="3" t="str">
        <f>CLEAN("W HIGH STREET TO HAIN STREET")</f>
        <v>W HIGH STREET TO HAIN STREET</v>
      </c>
      <c r="G2344" s="3" t="str">
        <f>CLEAN("DESIGN/PLAN CHECK REVIEW/PVRPLA")</f>
        <v>DESIGN/PLAN CHECK REVIEW/PVRPLA</v>
      </c>
      <c r="H2344" s="2" t="str">
        <f>CLEAN("CTH F")</f>
        <v>CTH F</v>
      </c>
      <c r="I2344" s="2" t="str">
        <f>CLEAN("206")</f>
        <v>206</v>
      </c>
    </row>
    <row r="2345" spans="1:9" x14ac:dyDescent="0.35">
      <c r="A2345" s="2" t="str">
        <f t="shared" si="367"/>
        <v>ROCK</v>
      </c>
      <c r="B2345" s="2" t="str">
        <f t="shared" si="368"/>
        <v>ROCK COUNTY</v>
      </c>
      <c r="C2345" s="2" t="s">
        <v>1484</v>
      </c>
      <c r="D2345" s="2" t="str">
        <f>CLEAN("3614-00-08")</f>
        <v>3614-00-08</v>
      </c>
      <c r="E2345" s="3" t="str">
        <f>CLEAN("TOWN OF BRADFORD  O RILEY ROAD")</f>
        <v>TOWN OF BRADFORD  O RILEY ROAD</v>
      </c>
      <c r="F2345" s="3" t="str">
        <f>CLEAN("TURTLE CREEK BRIDGE B-53-0093")</f>
        <v>TURTLE CREEK BRIDGE B-53-0093</v>
      </c>
      <c r="G2345" s="3" t="str">
        <f>CLEAN("DESIGN - FULL PS&amp;E BRRPL")</f>
        <v>DESIGN - FULL PS&amp;E BRRPL</v>
      </c>
      <c r="H2345" s="2" t="str">
        <f>CLEAN("LOC STR")</f>
        <v>LOC STR</v>
      </c>
      <c r="I2345" s="2" t="str">
        <f>CLEAN("205")</f>
        <v>205</v>
      </c>
    </row>
    <row r="2346" spans="1:9" x14ac:dyDescent="0.35">
      <c r="A2346" s="2" t="str">
        <f t="shared" si="367"/>
        <v>ROCK</v>
      </c>
      <c r="B2346" s="2" t="str">
        <f t="shared" si="368"/>
        <v>ROCK COUNTY</v>
      </c>
      <c r="C2346" s="2" t="s">
        <v>135</v>
      </c>
      <c r="D2346" s="2" t="str">
        <f>CLEAN("3614-00-78")</f>
        <v>3614-00-78</v>
      </c>
      <c r="E2346" s="3" t="str">
        <f>CLEAN("TOWN OF BRADFORD  O RILEY ROAD")</f>
        <v>TOWN OF BRADFORD  O RILEY ROAD</v>
      </c>
      <c r="F2346" s="3" t="str">
        <f>CLEAN("TURTLE CREEK BRIDGE B-53-0390")</f>
        <v>TURTLE CREEK BRIDGE B-53-0390</v>
      </c>
      <c r="G2346" s="3" t="str">
        <f>CLEAN("CONST OPS/BRIDGE REPLACEMENT")</f>
        <v>CONST OPS/BRIDGE REPLACEMENT</v>
      </c>
      <c r="H2346" s="2" t="str">
        <f>CLEAN("LOC STR")</f>
        <v>LOC STR</v>
      </c>
      <c r="I2346" s="2" t="str">
        <f>CLEAN("205")</f>
        <v>205</v>
      </c>
    </row>
    <row r="2347" spans="1:9" x14ac:dyDescent="0.35">
      <c r="A2347" s="2" t="str">
        <f t="shared" si="367"/>
        <v>ROCK</v>
      </c>
      <c r="B2347" s="2" t="str">
        <f t="shared" si="368"/>
        <v>ROCK COUNTY</v>
      </c>
      <c r="C2347" s="2" t="s">
        <v>1414</v>
      </c>
      <c r="D2347" s="2" t="str">
        <f>CLEAN("3617-00-00")</f>
        <v>3617-00-00</v>
      </c>
      <c r="E2347" s="3" t="str">
        <f>CLEAN("T HARMONY  MILTON SHOPIERE RD")</f>
        <v>T HARMONY  MILTON SHOPIERE RD</v>
      </c>
      <c r="F2347" s="3" t="str">
        <f>CLEAN("BR BLACKHAWK CREEK BRIDGE P-53-0097")</f>
        <v>BR BLACKHAWK CREEK BRIDGE P-53-0097</v>
      </c>
      <c r="G2347" s="3" t="str">
        <f>CLEAN("DESIGN - FULL PS&amp;E BRRHB")</f>
        <v>DESIGN - FULL PS&amp;E BRRHB</v>
      </c>
      <c r="H2347" s="2" t="str">
        <f>CLEAN("LOC STR")</f>
        <v>LOC STR</v>
      </c>
      <c r="I2347" s="2" t="str">
        <f>CLEAN("205")</f>
        <v>205</v>
      </c>
    </row>
    <row r="2348" spans="1:9" x14ac:dyDescent="0.35">
      <c r="A2348" s="2" t="str">
        <f t="shared" si="367"/>
        <v>ROCK</v>
      </c>
      <c r="B2348" s="2" t="str">
        <f t="shared" si="368"/>
        <v>ROCK COUNTY</v>
      </c>
      <c r="C2348" s="2" t="s">
        <v>74</v>
      </c>
      <c r="D2348" s="2" t="str">
        <f>CLEAN("3618-00-74")</f>
        <v>3618-00-74</v>
      </c>
      <c r="E2348" s="3" t="str">
        <f>CLEAN("TOWN OF LA PRAIRIE  ELM DRIVE")</f>
        <v>TOWN OF LA PRAIRIE  ELM DRIVE</v>
      </c>
      <c r="F2348" s="3" t="str">
        <f>CLEAN("BR TURTLE CREEK BRIDGE  B-53-0388")</f>
        <v>BR TURTLE CREEK BRIDGE  B-53-0388</v>
      </c>
      <c r="G2348" s="3" t="str">
        <f>CLEAN("CONST OPS/BRIDGE REPLACEMENT")</f>
        <v>CONST OPS/BRIDGE REPLACEMENT</v>
      </c>
      <c r="H2348" s="2" t="str">
        <f>CLEAN("LOC STR")</f>
        <v>LOC STR</v>
      </c>
      <c r="I2348" s="2" t="str">
        <f>CLEAN("205")</f>
        <v>205</v>
      </c>
    </row>
    <row r="2349" spans="1:9" x14ac:dyDescent="0.35">
      <c r="A2349" s="2" t="str">
        <f t="shared" si="367"/>
        <v>ROCK</v>
      </c>
      <c r="B2349" s="2" t="str">
        <f t="shared" si="368"/>
        <v>ROCK COUNTY</v>
      </c>
      <c r="C2349" s="2" t="s">
        <v>1819</v>
      </c>
      <c r="D2349" s="2" t="str">
        <f>CLEAN("3621-00-08")</f>
        <v>3621-00-08</v>
      </c>
      <c r="E2349" s="3" t="str">
        <f>CLEAN("TOWN OF TURTLE  LATHERS ROAD")</f>
        <v>TOWN OF TURTLE  LATHERS ROAD</v>
      </c>
      <c r="F2349" s="3" t="str">
        <f>CLEAN("TURTLE CREEK BRIDGE P-53-0162")</f>
        <v>TURTLE CREEK BRIDGE P-53-0162</v>
      </c>
      <c r="G2349" s="3" t="str">
        <f>CLEAN("DESIGN/BRIDGE REPLACEMENT")</f>
        <v>DESIGN/BRIDGE REPLACEMENT</v>
      </c>
      <c r="H2349" s="2" t="str">
        <f>CLEAN("LOC STR")</f>
        <v>LOC STR</v>
      </c>
      <c r="I2349" s="2" t="str">
        <f>CLEAN("205")</f>
        <v>205</v>
      </c>
    </row>
    <row r="2350" spans="1:9" x14ac:dyDescent="0.35">
      <c r="A2350" s="2" t="str">
        <f t="shared" si="367"/>
        <v>ROCK</v>
      </c>
      <c r="B2350" s="2" t="str">
        <f t="shared" si="368"/>
        <v>ROCK COUNTY</v>
      </c>
      <c r="C2350" s="2" t="s">
        <v>2125</v>
      </c>
      <c r="D2350" s="2" t="str">
        <f>CLEAN("3658-00-02")</f>
        <v>3658-00-02</v>
      </c>
      <c r="E2350" s="3" t="str">
        <f>CLEAN("STH 59 - STH 26 (CTH N)")</f>
        <v>STH 59 - STH 26 (CTH N)</v>
      </c>
      <c r="F2350" s="3" t="str">
        <f>CLEAN("STH 59 TO NORTH MILTON ROAD")</f>
        <v>STH 59 TO NORTH MILTON ROAD</v>
      </c>
      <c r="G2350" s="3" t="str">
        <f>CLEAN("DESIGN/PLAN CHECK REVIEW/PVRP")</f>
        <v>DESIGN/PLAN CHECK REVIEW/PVRP</v>
      </c>
      <c r="H2350" s="2" t="str">
        <f>CLEAN("CTH N")</f>
        <v>CTH N</v>
      </c>
      <c r="I2350" s="2" t="str">
        <f>CLEAN("206")</f>
        <v>206</v>
      </c>
    </row>
    <row r="2351" spans="1:9" x14ac:dyDescent="0.35">
      <c r="A2351" s="2" t="str">
        <f t="shared" si="367"/>
        <v>ROCK</v>
      </c>
      <c r="B2351" s="2" t="str">
        <f t="shared" si="368"/>
        <v>ROCK COUNTY</v>
      </c>
      <c r="C2351" s="2" t="s">
        <v>1416</v>
      </c>
      <c r="D2351" s="2" t="str">
        <f>CLEAN("3658-00-03")</f>
        <v>3658-00-03</v>
      </c>
      <c r="E2351" s="3" t="str">
        <f>CLEAN("STH 59 - STH 26 (CTH N)")</f>
        <v>STH 59 - STH 26 (CTH N)</v>
      </c>
      <c r="F2351" s="3" t="str">
        <f>CLEAN("OTTER CREEK BRIDGE B-53-0094")</f>
        <v>OTTER CREEK BRIDGE B-53-0094</v>
      </c>
      <c r="G2351" s="3" t="str">
        <f>CLEAN("DESIGN - FULL PS&amp;E BRRHB")</f>
        <v>DESIGN - FULL PS&amp;E BRRHB</v>
      </c>
      <c r="H2351" s="2" t="str">
        <f>CLEAN("CTH N")</f>
        <v>CTH N</v>
      </c>
      <c r="I2351" s="2" t="str">
        <f>CLEAN("205")</f>
        <v>205</v>
      </c>
    </row>
    <row r="2352" spans="1:9" x14ac:dyDescent="0.35">
      <c r="A2352" s="2" t="str">
        <f t="shared" si="367"/>
        <v>ROCK</v>
      </c>
      <c r="B2352" s="2" t="str">
        <f t="shared" si="368"/>
        <v>ROCK COUNTY</v>
      </c>
      <c r="C2352" s="2" t="s">
        <v>214</v>
      </c>
      <c r="D2352" s="2" t="str">
        <f>CLEAN("3658-00-70")</f>
        <v>3658-00-70</v>
      </c>
      <c r="E2352" s="3" t="str">
        <f>CLEAN("STH 59 - STH 26 (CTH N)")</f>
        <v>STH 59 - STH 26 (CTH N)</v>
      </c>
      <c r="F2352" s="3" t="str">
        <f>CLEAN("STH 59 TO NORTH MILTON ROAD")</f>
        <v>STH 59 TO NORTH MILTON ROAD</v>
      </c>
      <c r="G2352" s="3" t="str">
        <f>CLEAN("CONST OPS/PVRP_O")</f>
        <v>CONST OPS/PVRP_O</v>
      </c>
      <c r="H2352" s="2" t="str">
        <f>CLEAN("CTH N")</f>
        <v>CTH N</v>
      </c>
      <c r="I2352" s="2" t="str">
        <f>CLEAN("206")</f>
        <v>206</v>
      </c>
    </row>
    <row r="2353" spans="1:9" x14ac:dyDescent="0.35">
      <c r="A2353" s="2" t="str">
        <f t="shared" si="367"/>
        <v>ROCK</v>
      </c>
      <c r="B2353" s="2" t="str">
        <f t="shared" si="368"/>
        <v>ROCK COUNTY</v>
      </c>
      <c r="C2353" s="2" t="s">
        <v>1798</v>
      </c>
      <c r="D2353" s="2" t="str">
        <f>CLEAN("5334-00-00")</f>
        <v>5334-00-00</v>
      </c>
      <c r="E2353" s="3" t="str">
        <f>CLEAN("CITY OF JANESVILLE - US 14")</f>
        <v>CITY OF JANESVILLE - US 14</v>
      </c>
      <c r="F2353" s="3" t="str">
        <f>CLEAN("MARSH CREEK BRIDGE  B-53-0010")</f>
        <v>MARSH CREEK BRIDGE  B-53-0010</v>
      </c>
      <c r="G2353" s="3" t="str">
        <f>CLEAN("DESIGN/BRIDGE REPLACEMENT")</f>
        <v>DESIGN/BRIDGE REPLACEMENT</v>
      </c>
      <c r="H2353" s="2" t="str">
        <f>CLEAN("CTH E")</f>
        <v>CTH E</v>
      </c>
      <c r="I2353" s="2" t="str">
        <f>CLEAN("205")</f>
        <v>205</v>
      </c>
    </row>
    <row r="2354" spans="1:9" x14ac:dyDescent="0.35">
      <c r="A2354" s="2" t="str">
        <f t="shared" si="367"/>
        <v>ROCK</v>
      </c>
      <c r="B2354" s="2" t="str">
        <f t="shared" si="368"/>
        <v>ROCK COUNTY</v>
      </c>
      <c r="C2354" s="2" t="s">
        <v>1488</v>
      </c>
      <c r="D2354" s="2" t="str">
        <f>CLEAN("5755-00-03")</f>
        <v>5755-00-03</v>
      </c>
      <c r="E2354" s="3" t="str">
        <f>CLEAN("STH 213 TO THE ROCK RIVER")</f>
        <v>STH 213 TO THE ROCK RIVER</v>
      </c>
      <c r="F2354" s="3" t="str">
        <f>CLEAN("CTH D INTERSECTION")</f>
        <v>CTH D INTERSECTION</v>
      </c>
      <c r="G2354" s="3" t="str">
        <f>CLEAN("DESIGN - FULL PS&amp;E MISC")</f>
        <v>DESIGN - FULL PS&amp;E MISC</v>
      </c>
      <c r="H2354" s="2" t="str">
        <f>CLEAN("CTH Q")</f>
        <v>CTH Q</v>
      </c>
      <c r="I2354" s="2" t="str">
        <f>CLEAN("206")</f>
        <v>206</v>
      </c>
    </row>
    <row r="2355" spans="1:9" x14ac:dyDescent="0.35">
      <c r="A2355" s="2" t="str">
        <f t="shared" si="367"/>
        <v>ROCK</v>
      </c>
      <c r="B2355" s="2" t="str">
        <f t="shared" si="368"/>
        <v>ROCK COUNTY</v>
      </c>
      <c r="C2355" s="2" t="s">
        <v>221</v>
      </c>
      <c r="D2355" s="2" t="str">
        <f>CLEAN("5755-00-11")</f>
        <v>5755-00-11</v>
      </c>
      <c r="E2355" s="3" t="str">
        <f>CLEAN("CITY OF BELOIT  CTH Q")</f>
        <v>CITY OF BELOIT  CTH Q</v>
      </c>
      <c r="F2355" s="3" t="str">
        <f>CLEAN("CTH D TO USH 51")</f>
        <v>CTH D TO USH 51</v>
      </c>
      <c r="G2355" s="3" t="str">
        <f>CLEAN("CONST OPS/RECONDITION")</f>
        <v>CONST OPS/RECONDITION</v>
      </c>
      <c r="H2355" s="2" t="str">
        <f>CLEAN("CTH Q")</f>
        <v>CTH Q</v>
      </c>
      <c r="I2355" s="2" t="str">
        <f>CLEAN("206")</f>
        <v>206</v>
      </c>
    </row>
    <row r="2356" spans="1:9" x14ac:dyDescent="0.35">
      <c r="A2356" s="2" t="str">
        <f t="shared" si="367"/>
        <v>ROCK</v>
      </c>
      <c r="B2356" s="2" t="str">
        <f t="shared" si="368"/>
        <v>ROCK COUNTY</v>
      </c>
      <c r="C2356" s="2" t="s">
        <v>2186</v>
      </c>
      <c r="D2356" s="2" t="str">
        <f>CLEAN("5755-00-14")</f>
        <v>5755-00-14</v>
      </c>
      <c r="E2356" s="3" t="str">
        <f>CLEAN("ROCK CO  AFTON ROAD SIDEPATH")</f>
        <v>ROCK CO  AFTON ROAD SIDEPATH</v>
      </c>
      <c r="F2356" s="3" t="str">
        <f>CLEAN("CTH Q TO W. BIG HILL ROAD")</f>
        <v>CTH Q TO W. BIG HILL ROAD</v>
      </c>
      <c r="G2356" s="3" t="str">
        <f>CLEAN("DESIGN/PLAN CHECK REVIEW/RECST")</f>
        <v>DESIGN/PLAN CHECK REVIEW/RECST</v>
      </c>
      <c r="H2356" s="2" t="str">
        <f>CLEAN("CTH D")</f>
        <v>CTH D</v>
      </c>
      <c r="I2356" s="2" t="str">
        <f>CLEAN("206")</f>
        <v>206</v>
      </c>
    </row>
    <row r="2357" spans="1:9" x14ac:dyDescent="0.35">
      <c r="A2357" s="2" t="str">
        <f t="shared" si="367"/>
        <v>ROCK</v>
      </c>
      <c r="B2357" s="2" t="str">
        <f t="shared" si="368"/>
        <v>ROCK COUNTY</v>
      </c>
      <c r="C2357" s="2" t="s">
        <v>590</v>
      </c>
      <c r="D2357" s="2" t="str">
        <f>CLEAN("5755-00-73")</f>
        <v>5755-00-73</v>
      </c>
      <c r="E2357" s="3" t="str">
        <f>CLEAN("STH 213 TO THE ROCK RIVER")</f>
        <v>STH 213 TO THE ROCK RIVER</v>
      </c>
      <c r="F2357" s="3" t="str">
        <f>CLEAN("CTH D INTERSECTION")</f>
        <v>CTH D INTERSECTION</v>
      </c>
      <c r="G2357" s="3" t="str">
        <f>CLEAN("CONST/LEFT TURN LANES/MONOTUBE/MISC")</f>
        <v>CONST/LEFT TURN LANES/MONOTUBE/MISC</v>
      </c>
      <c r="H2357" s="2" t="str">
        <f>CLEAN("CTH Q")</f>
        <v>CTH Q</v>
      </c>
      <c r="I2357" s="2" t="str">
        <f>CLEAN("206")</f>
        <v>206</v>
      </c>
    </row>
    <row r="2358" spans="1:9" x14ac:dyDescent="0.35">
      <c r="A2358" s="2" t="str">
        <f t="shared" si="367"/>
        <v>ROCK</v>
      </c>
      <c r="B2358" s="2" t="str">
        <f t="shared" si="368"/>
        <v>ROCK COUNTY</v>
      </c>
      <c r="C2358" s="2" t="s">
        <v>112</v>
      </c>
      <c r="D2358" s="2" t="str">
        <f>CLEAN("5758-00-73")</f>
        <v>5758-00-73</v>
      </c>
      <c r="E2358" s="3" t="str">
        <f>CLEAN("TOWN OF JANESVILLE  POLZIN RD")</f>
        <v>TOWN OF JANESVILLE  POLZIN RD</v>
      </c>
      <c r="F2358" s="3" t="str">
        <f>CLEAN("MARSH CREEK BRIDGE  B-53-0387")</f>
        <v>MARSH CREEK BRIDGE  B-53-0387</v>
      </c>
      <c r="G2358" s="3" t="str">
        <f>CLEAN("CONST OPS/BRIDGE REPLACEMENT")</f>
        <v>CONST OPS/BRIDGE REPLACEMENT</v>
      </c>
      <c r="H2358" s="2" t="str">
        <f t="shared" ref="H2358:H2364" si="369">CLEAN("LOC STR")</f>
        <v>LOC STR</v>
      </c>
      <c r="I2358" s="2" t="str">
        <f t="shared" ref="I2358:I2364" si="370">CLEAN("205")</f>
        <v>205</v>
      </c>
    </row>
    <row r="2359" spans="1:9" x14ac:dyDescent="0.35">
      <c r="A2359" s="2" t="str">
        <f t="shared" si="367"/>
        <v>ROCK</v>
      </c>
      <c r="B2359" s="2" t="str">
        <f t="shared" si="368"/>
        <v>ROCK COUNTY</v>
      </c>
      <c r="C2359" s="2" t="s">
        <v>1828</v>
      </c>
      <c r="D2359" s="2" t="str">
        <f>CLEAN("5767-00-03")</f>
        <v>5767-00-03</v>
      </c>
      <c r="E2359" s="3" t="str">
        <f>CLEAN("TOWN OF PORTER  CALEDONIA ROAD")</f>
        <v>TOWN OF PORTER  CALEDONIA ROAD</v>
      </c>
      <c r="F2359" s="3" t="str">
        <f>CLEAN("YAHARA RIVER BRIDGE B-53-0096")</f>
        <v>YAHARA RIVER BRIDGE B-53-0096</v>
      </c>
      <c r="G2359" s="3" t="str">
        <f>CLEAN("DESIGN/BRIDGE REPLACEMENT")</f>
        <v>DESIGN/BRIDGE REPLACEMENT</v>
      </c>
      <c r="H2359" s="2" t="str">
        <f t="shared" si="369"/>
        <v>LOC STR</v>
      </c>
      <c r="I2359" s="2" t="str">
        <f t="shared" si="370"/>
        <v>205</v>
      </c>
    </row>
    <row r="2360" spans="1:9" x14ac:dyDescent="0.35">
      <c r="A2360" s="2" t="str">
        <f t="shared" si="367"/>
        <v>ROCK</v>
      </c>
      <c r="B2360" s="2" t="str">
        <f t="shared" si="368"/>
        <v>ROCK COUNTY</v>
      </c>
      <c r="C2360" s="2" t="s">
        <v>1419</v>
      </c>
      <c r="D2360" s="2" t="str">
        <f>CLEAN("5767-00-04")</f>
        <v>5767-00-04</v>
      </c>
      <c r="E2360" s="3" t="str">
        <f>CLEAN("T PORTER  STEBBENSVILLE RD")</f>
        <v>T PORTER  STEBBENSVILLE RD</v>
      </c>
      <c r="F2360" s="3" t="str">
        <f>CLEAN("YAHARA RIVER BRIDGE P-53-0060")</f>
        <v>YAHARA RIVER BRIDGE P-53-0060</v>
      </c>
      <c r="G2360" s="3" t="str">
        <f>CLEAN("DESIGN - FULL PS&amp;E BRRHB")</f>
        <v>DESIGN - FULL PS&amp;E BRRHB</v>
      </c>
      <c r="H2360" s="2" t="str">
        <f t="shared" si="369"/>
        <v>LOC STR</v>
      </c>
      <c r="I2360" s="2" t="str">
        <f t="shared" si="370"/>
        <v>205</v>
      </c>
    </row>
    <row r="2361" spans="1:9" x14ac:dyDescent="0.35">
      <c r="A2361" s="2" t="str">
        <f t="shared" si="367"/>
        <v>ROCK</v>
      </c>
      <c r="B2361" s="2" t="str">
        <f t="shared" si="368"/>
        <v>ROCK COUNTY</v>
      </c>
      <c r="C2361" s="2" t="s">
        <v>56</v>
      </c>
      <c r="D2361" s="2" t="str">
        <f>CLEAN("5767-00-73")</f>
        <v>5767-00-73</v>
      </c>
      <c r="E2361" s="3" t="str">
        <f>CLEAN("TOWN OF PORTER  CALEDONIA ROAD")</f>
        <v>TOWN OF PORTER  CALEDONIA ROAD</v>
      </c>
      <c r="F2361" s="3" t="str">
        <f>CLEAN("YAHARA RIVER BRIDGE B-53-0096")</f>
        <v>YAHARA RIVER BRIDGE B-53-0096</v>
      </c>
      <c r="G2361" s="3" t="str">
        <f>CLEAN("CONST OPS/BRIDGE REHABILITATION")</f>
        <v>CONST OPS/BRIDGE REHABILITATION</v>
      </c>
      <c r="H2361" s="2" t="str">
        <f t="shared" si="369"/>
        <v>LOC STR</v>
      </c>
      <c r="I2361" s="2" t="str">
        <f t="shared" si="370"/>
        <v>205</v>
      </c>
    </row>
    <row r="2362" spans="1:9" x14ac:dyDescent="0.35">
      <c r="A2362" s="2" t="str">
        <f t="shared" si="367"/>
        <v>ROCK</v>
      </c>
      <c r="B2362" s="2" t="str">
        <f t="shared" si="368"/>
        <v>ROCK COUNTY</v>
      </c>
      <c r="C2362" s="2" t="s">
        <v>1808</v>
      </c>
      <c r="D2362" s="2" t="str">
        <f>CLEAN("5788-00-06")</f>
        <v>5788-00-06</v>
      </c>
      <c r="E2362" s="3" t="str">
        <f>CLEAN("T NEWARK  CLEOPHAS ROAD")</f>
        <v>T NEWARK  CLEOPHAS ROAD</v>
      </c>
      <c r="F2362" s="3" t="str">
        <f>CLEAN("RACCOON CREEK BRIDGE P-53-0146")</f>
        <v>RACCOON CREEK BRIDGE P-53-0146</v>
      </c>
      <c r="G2362" s="3" t="str">
        <f>CLEAN("DESIGN/BRIDGE REPLACEMENT")</f>
        <v>DESIGN/BRIDGE REPLACEMENT</v>
      </c>
      <c r="H2362" s="2" t="str">
        <f t="shared" si="369"/>
        <v>LOC STR</v>
      </c>
      <c r="I2362" s="2" t="str">
        <f t="shared" si="370"/>
        <v>205</v>
      </c>
    </row>
    <row r="2363" spans="1:9" x14ac:dyDescent="0.35">
      <c r="A2363" s="2" t="str">
        <f t="shared" si="367"/>
        <v>ROCK</v>
      </c>
      <c r="B2363" s="2" t="str">
        <f t="shared" si="368"/>
        <v>ROCK COUNTY</v>
      </c>
      <c r="C2363" s="2" t="s">
        <v>125</v>
      </c>
      <c r="D2363" s="2" t="str">
        <f>CLEAN("5788-00-75")</f>
        <v>5788-00-75</v>
      </c>
      <c r="E2363" s="3" t="str">
        <f>CLEAN("T NEWARK  SKINNER ROAD")</f>
        <v>T NEWARK  SKINNER ROAD</v>
      </c>
      <c r="F2363" s="3" t="str">
        <f>CLEAN("RACCOON CREEK BRIDGE B-53-0378")</f>
        <v>RACCOON CREEK BRIDGE B-53-0378</v>
      </c>
      <c r="G2363" s="3" t="str">
        <f>CLEAN("CONST OPS/BRIDGE REPLACEMENT")</f>
        <v>CONST OPS/BRIDGE REPLACEMENT</v>
      </c>
      <c r="H2363" s="2" t="str">
        <f t="shared" si="369"/>
        <v>LOC STR</v>
      </c>
      <c r="I2363" s="2" t="str">
        <f t="shared" si="370"/>
        <v>205</v>
      </c>
    </row>
    <row r="2364" spans="1:9" x14ac:dyDescent="0.35">
      <c r="A2364" s="2" t="str">
        <f t="shared" si="367"/>
        <v>ROCK</v>
      </c>
      <c r="B2364" s="2" t="str">
        <f t="shared" si="368"/>
        <v>ROCK COUNTY</v>
      </c>
      <c r="C2364" s="2" t="s">
        <v>460</v>
      </c>
      <c r="D2364" s="2" t="str">
        <f>CLEAN("5788-00-76")</f>
        <v>5788-00-76</v>
      </c>
      <c r="E2364" s="3" t="str">
        <f>CLEAN("T NEWARK  CLEOPHAS ROAD")</f>
        <v>T NEWARK  CLEOPHAS ROAD</v>
      </c>
      <c r="F2364" s="3" t="str">
        <f>CLEAN("RACCOON CREEK BRIDGE B-53-0391")</f>
        <v>RACCOON CREEK BRIDGE B-53-0391</v>
      </c>
      <c r="G2364" s="3" t="str">
        <f>CLEAN("CONST/BRIDGE REPLACEMENT")</f>
        <v>CONST/BRIDGE REPLACEMENT</v>
      </c>
      <c r="H2364" s="2" t="str">
        <f t="shared" si="369"/>
        <v>LOC STR</v>
      </c>
      <c r="I2364" s="2" t="str">
        <f t="shared" si="370"/>
        <v>205</v>
      </c>
    </row>
    <row r="2365" spans="1:9" x14ac:dyDescent="0.35">
      <c r="A2365" s="2" t="str">
        <f t="shared" ref="A2365:A2371" si="371">CLEAN("RUSK")</f>
        <v>RUSK</v>
      </c>
      <c r="B2365" s="2" t="str">
        <f t="shared" ref="B2365:B2371" si="372">CLEAN("RUSK COUNTY")</f>
        <v>RUSK COUNTY</v>
      </c>
      <c r="C2365" s="2" t="s">
        <v>1634</v>
      </c>
      <c r="D2365" s="2" t="str">
        <f>CLEAN("8771-00-01")</f>
        <v>8771-00-01</v>
      </c>
      <c r="E2365" s="3" t="str">
        <f>CLEAN("USH 8 - NCL")</f>
        <v>USH 8 - NCL</v>
      </c>
      <c r="F2365" s="3" t="str">
        <f>CLEAN("S FORK RD TO SKINNER CREEK RD")</f>
        <v>S FORK RD TO SKINNER CREEK RD</v>
      </c>
      <c r="G2365" s="3" t="str">
        <f>CLEAN("DESIGN - FULL PS&amp;E/PVRPLA")</f>
        <v>DESIGN - FULL PS&amp;E/PVRPLA</v>
      </c>
      <c r="H2365" s="2" t="str">
        <f>CLEAN("CTH M")</f>
        <v>CTH M</v>
      </c>
      <c r="I2365" s="2" t="str">
        <f>CLEAN("206")</f>
        <v>206</v>
      </c>
    </row>
    <row r="2366" spans="1:9" x14ac:dyDescent="0.35">
      <c r="A2366" s="2" t="str">
        <f t="shared" si="371"/>
        <v>RUSK</v>
      </c>
      <c r="B2366" s="2" t="str">
        <f t="shared" si="372"/>
        <v>RUSK COUNTY</v>
      </c>
      <c r="C2366" s="2" t="s">
        <v>1797</v>
      </c>
      <c r="D2366" s="2" t="str">
        <f>CLEAN("8793-00-03")</f>
        <v>8793-00-03</v>
      </c>
      <c r="E2366" s="3" t="str">
        <f>CLEAN("SOUTH COUNTY LINE - GLEN FLORA")</f>
        <v>SOUTH COUNTY LINE - GLEN FLORA</v>
      </c>
      <c r="F2366" s="3" t="str">
        <f>CLEAN("MAIN CREEK BRIDGE P-54-0029")</f>
        <v>MAIN CREEK BRIDGE P-54-0029</v>
      </c>
      <c r="G2366" s="3" t="str">
        <f>CLEAN("DESIGN/BRIDGE REPLACEMENT")</f>
        <v>DESIGN/BRIDGE REPLACEMENT</v>
      </c>
      <c r="H2366" s="2" t="str">
        <f>CLEAN("CTH B")</f>
        <v>CTH B</v>
      </c>
      <c r="I2366" s="2" t="str">
        <f t="shared" ref="I2366:I2371" si="373">CLEAN("205")</f>
        <v>205</v>
      </c>
    </row>
    <row r="2367" spans="1:9" x14ac:dyDescent="0.35">
      <c r="A2367" s="2" t="str">
        <f t="shared" si="371"/>
        <v>RUSK</v>
      </c>
      <c r="B2367" s="2" t="str">
        <f t="shared" si="372"/>
        <v>RUSK COUNTY</v>
      </c>
      <c r="C2367" s="2" t="s">
        <v>504</v>
      </c>
      <c r="D2367" s="2" t="str">
        <f>CLEAN("8793-00-71")</f>
        <v>8793-00-71</v>
      </c>
      <c r="E2367" s="3" t="str">
        <f>CLEAN("USH 8 - CEDAR RAPIDS")</f>
        <v>USH 8 - CEDAR RAPIDS</v>
      </c>
      <c r="F2367" s="3" t="str">
        <f>CLEAN("DEER TAIL CREEK BRIDGE B540128")</f>
        <v>DEER TAIL CREEK BRIDGE B540128</v>
      </c>
      <c r="G2367" s="3" t="str">
        <f>CLEAN("CONST/BRRPL")</f>
        <v>CONST/BRRPL</v>
      </c>
      <c r="H2367" s="2" t="str">
        <f>CLEAN("CTH B")</f>
        <v>CTH B</v>
      </c>
      <c r="I2367" s="2" t="str">
        <f t="shared" si="373"/>
        <v>205</v>
      </c>
    </row>
    <row r="2368" spans="1:9" x14ac:dyDescent="0.35">
      <c r="A2368" s="2" t="str">
        <f t="shared" si="371"/>
        <v>RUSK</v>
      </c>
      <c r="B2368" s="2" t="str">
        <f t="shared" si="372"/>
        <v>RUSK COUNTY</v>
      </c>
      <c r="C2368" s="2" t="s">
        <v>1252</v>
      </c>
      <c r="D2368" s="2" t="str">
        <f>CLEAN("8793-00-72")</f>
        <v>8793-00-72</v>
      </c>
      <c r="E2368" s="3" t="str">
        <f>CLEAN("SCL - GLEN FLORA")</f>
        <v>SCL - GLEN FLORA</v>
      </c>
      <c r="F2368" s="3" t="str">
        <f>CLEAN("MIDDLE FORK MAIN CREEK BR B-54-0137")</f>
        <v>MIDDLE FORK MAIN CREEK BR B-54-0137</v>
      </c>
      <c r="G2368" s="3" t="str">
        <f>CLEAN("CONSTRUCTION/BRRPL")</f>
        <v>CONSTRUCTION/BRRPL</v>
      </c>
      <c r="H2368" s="2" t="str">
        <f>CLEAN("CTH B")</f>
        <v>CTH B</v>
      </c>
      <c r="I2368" s="2" t="str">
        <f t="shared" si="373"/>
        <v>205</v>
      </c>
    </row>
    <row r="2369" spans="1:9" x14ac:dyDescent="0.35">
      <c r="A2369" s="2" t="str">
        <f t="shared" si="371"/>
        <v>RUSK</v>
      </c>
      <c r="B2369" s="2" t="str">
        <f t="shared" si="372"/>
        <v>RUSK COUNTY</v>
      </c>
      <c r="C2369" s="2" t="s">
        <v>1189</v>
      </c>
      <c r="D2369" s="2" t="str">
        <f>CLEAN("8793-00-73")</f>
        <v>8793-00-73</v>
      </c>
      <c r="E2369" s="3" t="str">
        <f>CLEAN("SOUTH COUNTY LINE - GLEN FLORA")</f>
        <v>SOUTH COUNTY LINE - GLEN FLORA</v>
      </c>
      <c r="F2369" s="3" t="str">
        <f>CLEAN("MAIN CREEK BRIDGE B-54-0140")</f>
        <v>MAIN CREEK BRIDGE B-54-0140</v>
      </c>
      <c r="G2369" s="3" t="str">
        <f>CLEAN("CONSTRUCTION/BRIDGE REPLACEMENT")</f>
        <v>CONSTRUCTION/BRIDGE REPLACEMENT</v>
      </c>
      <c r="H2369" s="2" t="str">
        <f>CLEAN("CTH B")</f>
        <v>CTH B</v>
      </c>
      <c r="I2369" s="2" t="str">
        <f t="shared" si="373"/>
        <v>205</v>
      </c>
    </row>
    <row r="2370" spans="1:9" x14ac:dyDescent="0.35">
      <c r="A2370" s="2" t="str">
        <f t="shared" si="371"/>
        <v>RUSK</v>
      </c>
      <c r="B2370" s="2" t="str">
        <f t="shared" si="372"/>
        <v>RUSK COUNTY</v>
      </c>
      <c r="C2370" s="2" t="s">
        <v>1224</v>
      </c>
      <c r="D2370" s="2" t="str">
        <f>CLEAN("8794-00-70")</f>
        <v>8794-00-70</v>
      </c>
      <c r="E2370" s="3" t="str">
        <f>CLEAN("SCL - CONRATH")</f>
        <v>SCL - CONRATH</v>
      </c>
      <c r="F2370" s="3" t="str">
        <f>CLEAN("JUMP RIVER BRIDGE B540019")</f>
        <v>JUMP RIVER BRIDGE B540019</v>
      </c>
      <c r="G2370" s="3" t="str">
        <f>CLEAN("CONSTRUCTION/BRRHB/DECK REPLACEMENT")</f>
        <v>CONSTRUCTION/BRRHB/DECK REPLACEMENT</v>
      </c>
      <c r="H2370" s="2" t="str">
        <f>CLEAN("CTH G")</f>
        <v>CTH G</v>
      </c>
      <c r="I2370" s="2" t="str">
        <f t="shared" si="373"/>
        <v>205</v>
      </c>
    </row>
    <row r="2371" spans="1:9" x14ac:dyDescent="0.35">
      <c r="A2371" s="2" t="str">
        <f t="shared" si="371"/>
        <v>RUSK</v>
      </c>
      <c r="B2371" s="2" t="str">
        <f t="shared" si="372"/>
        <v>RUSK COUNTY</v>
      </c>
      <c r="C2371" s="2" t="s">
        <v>505</v>
      </c>
      <c r="D2371" s="2" t="str">
        <f>CLEAN("8795-00-70")</f>
        <v>8795-00-70</v>
      </c>
      <c r="E2371" s="3" t="str">
        <f>CLEAN("CONRATH - TONY")</f>
        <v>CONRATH - TONY</v>
      </c>
      <c r="F2371" s="3" t="str">
        <f>CLEAN("DEER TAIL CREEK BRIDGE B540129")</f>
        <v>DEER TAIL CREEK BRIDGE B540129</v>
      </c>
      <c r="G2371" s="3" t="str">
        <f>CLEAN("CONST/BRRPL")</f>
        <v>CONST/BRRPL</v>
      </c>
      <c r="H2371" s="2" t="str">
        <f>CLEAN("CTH I")</f>
        <v>CTH I</v>
      </c>
      <c r="I2371" s="2" t="str">
        <f t="shared" si="373"/>
        <v>205</v>
      </c>
    </row>
    <row r="2372" spans="1:9" x14ac:dyDescent="0.35">
      <c r="A2372" s="2" t="str">
        <f t="shared" ref="A2372:A2387" si="374">CLEAN("ST. CROIX")</f>
        <v>ST. CROIX</v>
      </c>
      <c r="B2372" s="2" t="str">
        <f t="shared" ref="B2372:B2387" si="375">CLEAN("SAINT CROIX COUNTY")</f>
        <v>SAINT CROIX COUNTY</v>
      </c>
      <c r="C2372" s="2" t="s">
        <v>1667</v>
      </c>
      <c r="D2372" s="2" t="str">
        <f>CLEAN("7901-03-02")</f>
        <v>7901-03-02</v>
      </c>
      <c r="E2372" s="3" t="str">
        <f>CLEAN("PIERCE COUNTY LINE - HUDSON")</f>
        <v>PIERCE COUNTY LINE - HUDSON</v>
      </c>
      <c r="F2372" s="3" t="str">
        <f>CLEAN("PIERCE COUNTY LINE TO COULEE TRAIL")</f>
        <v>PIERCE COUNTY LINE TO COULEE TRAIL</v>
      </c>
      <c r="G2372" s="3" t="str">
        <f>CLEAN("DESIGN - FULL PS&amp;E/RESURFACE")</f>
        <v>DESIGN - FULL PS&amp;E/RESURFACE</v>
      </c>
      <c r="H2372" s="2" t="str">
        <f>CLEAN("CTH F")</f>
        <v>CTH F</v>
      </c>
      <c r="I2372" s="2" t="str">
        <f t="shared" ref="I2372:I2380" si="376">CLEAN("206")</f>
        <v>206</v>
      </c>
    </row>
    <row r="2373" spans="1:9" x14ac:dyDescent="0.35">
      <c r="A2373" s="2" t="str">
        <f t="shared" si="374"/>
        <v>ST. CROIX</v>
      </c>
      <c r="B2373" s="2" t="str">
        <f t="shared" si="375"/>
        <v>SAINT CROIX COUNTY</v>
      </c>
      <c r="C2373" s="2" t="s">
        <v>2025</v>
      </c>
      <c r="D2373" s="2" t="str">
        <f>CLEAN("8939-03-08")</f>
        <v>8939-03-08</v>
      </c>
      <c r="E2373" s="3" t="str">
        <f>CLEAN("CTH A - SOMERSET")</f>
        <v>CTH A - SOMERSET</v>
      </c>
      <c r="F2373" s="3" t="str">
        <f>CLEAN("CTH A TO KOHLER DRIVE")</f>
        <v>CTH A TO KOHLER DRIVE</v>
      </c>
      <c r="G2373" s="3" t="str">
        <f>CLEAN("DESIGN/HRRR/SAFETY TREATMENTS")</f>
        <v>DESIGN/HRRR/SAFETY TREATMENTS</v>
      </c>
      <c r="H2373" s="2" t="str">
        <f>CLEAN("CTH I")</f>
        <v>CTH I</v>
      </c>
      <c r="I2373" s="2" t="str">
        <f t="shared" si="376"/>
        <v>206</v>
      </c>
    </row>
    <row r="2374" spans="1:9" x14ac:dyDescent="0.35">
      <c r="A2374" s="2" t="str">
        <f t="shared" si="374"/>
        <v>ST. CROIX</v>
      </c>
      <c r="B2374" s="2" t="str">
        <f t="shared" si="375"/>
        <v>SAINT CROIX COUNTY</v>
      </c>
      <c r="C2374" s="2" t="s">
        <v>2040</v>
      </c>
      <c r="D2374" s="2" t="str">
        <f>CLEAN("8939-08-06")</f>
        <v>8939-08-06</v>
      </c>
      <c r="E2374" s="3" t="str">
        <f>CLEAN("HOULTON - STH 65")</f>
        <v>HOULTON - STH 65</v>
      </c>
      <c r="F2374" s="3" t="str">
        <f>CLEAN("14TH STREET TO CTH V")</f>
        <v>14TH STREET TO CTH V</v>
      </c>
      <c r="G2374" s="3" t="str">
        <f>CLEAN("DESIGN/PAVEMENT REPLACEMENT")</f>
        <v>DESIGN/PAVEMENT REPLACEMENT</v>
      </c>
      <c r="H2374" s="2" t="str">
        <f>CLEAN("CTH E")</f>
        <v>CTH E</v>
      </c>
      <c r="I2374" s="2" t="str">
        <f t="shared" si="376"/>
        <v>206</v>
      </c>
    </row>
    <row r="2375" spans="1:9" x14ac:dyDescent="0.35">
      <c r="A2375" s="2" t="str">
        <f t="shared" si="374"/>
        <v>ST. CROIX</v>
      </c>
      <c r="B2375" s="2" t="str">
        <f t="shared" si="375"/>
        <v>SAINT CROIX COUNTY</v>
      </c>
      <c r="C2375" s="2" t="s">
        <v>1674</v>
      </c>
      <c r="D2375" s="2" t="str">
        <f>CLEAN("8939-08-08")</f>
        <v>8939-08-08</v>
      </c>
      <c r="E2375" s="3" t="str">
        <f>CLEAN("T ST JOSEPH  CTH E")</f>
        <v>T ST JOSEPH  CTH E</v>
      </c>
      <c r="F2375" s="3" t="str">
        <f>CLEAN("CTH E &amp; CTH I INTERSECTION")</f>
        <v>CTH E &amp; CTH I INTERSECTION</v>
      </c>
      <c r="G2375" s="3" t="str">
        <f>CLEAN("DESIGN - FULL PS&amp;E/SAFETY")</f>
        <v>DESIGN - FULL PS&amp;E/SAFETY</v>
      </c>
      <c r="H2375" s="2" t="str">
        <f>CLEAN("CTH E")</f>
        <v>CTH E</v>
      </c>
      <c r="I2375" s="2" t="str">
        <f t="shared" si="376"/>
        <v>206</v>
      </c>
    </row>
    <row r="2376" spans="1:9" x14ac:dyDescent="0.35">
      <c r="A2376" s="2" t="str">
        <f t="shared" si="374"/>
        <v>ST. CROIX</v>
      </c>
      <c r="B2376" s="2" t="str">
        <f t="shared" si="375"/>
        <v>SAINT CROIX COUNTY</v>
      </c>
      <c r="C2376" s="2" t="s">
        <v>1516</v>
      </c>
      <c r="D2376" s="2" t="str">
        <f>CLEAN("8941-05-01")</f>
        <v>8941-05-01</v>
      </c>
      <c r="E2376" s="3" t="str">
        <f>CLEAN("NEW RICHMOND - JEWETT")</f>
        <v>NEW RICHMOND - JEWETT</v>
      </c>
      <c r="F2376" s="3" t="str">
        <f>CLEAN("170TH STREET NORTH TO CTH T")</f>
        <v>170TH STREET NORTH TO CTH T</v>
      </c>
      <c r="G2376" s="3" t="str">
        <f>CLEAN("DESIGN - FULL PS&amp;E RECONDITION")</f>
        <v>DESIGN - FULL PS&amp;E RECONDITION</v>
      </c>
      <c r="H2376" s="2" t="str">
        <f>CLEAN("CTH K")</f>
        <v>CTH K</v>
      </c>
      <c r="I2376" s="2" t="str">
        <f t="shared" si="376"/>
        <v>206</v>
      </c>
    </row>
    <row r="2377" spans="1:9" x14ac:dyDescent="0.35">
      <c r="A2377" s="2" t="str">
        <f t="shared" si="374"/>
        <v>ST. CROIX</v>
      </c>
      <c r="B2377" s="2" t="str">
        <f t="shared" si="375"/>
        <v>SAINT CROIX COUNTY</v>
      </c>
      <c r="C2377" s="2" t="s">
        <v>1641</v>
      </c>
      <c r="D2377" s="2" t="str">
        <f>CLEAN("8941-05-03")</f>
        <v>8941-05-03</v>
      </c>
      <c r="E2377" s="3" t="str">
        <f>CLEAN("NEW RICHMOND - JEWETT")</f>
        <v>NEW RICHMOND - JEWETT</v>
      </c>
      <c r="F2377" s="3" t="str">
        <f>CLEAN("140TH STREET TO PRAIRIE ROAD")</f>
        <v>140TH STREET TO PRAIRIE ROAD</v>
      </c>
      <c r="G2377" s="3" t="str">
        <f>CLEAN("DESIGN - FULL PS&amp;E/RCND")</f>
        <v>DESIGN - FULL PS&amp;E/RCND</v>
      </c>
      <c r="H2377" s="2" t="str">
        <f>CLEAN("CTH K")</f>
        <v>CTH K</v>
      </c>
      <c r="I2377" s="2" t="str">
        <f t="shared" si="376"/>
        <v>206</v>
      </c>
    </row>
    <row r="2378" spans="1:9" x14ac:dyDescent="0.35">
      <c r="A2378" s="2" t="str">
        <f t="shared" si="374"/>
        <v>ST. CROIX</v>
      </c>
      <c r="B2378" s="2" t="str">
        <f t="shared" si="375"/>
        <v>SAINT CROIX COUNTY</v>
      </c>
      <c r="C2378" s="2" t="s">
        <v>1675</v>
      </c>
      <c r="D2378" s="2" t="str">
        <f>CLEAN("8941-07-01")</f>
        <v>8941-07-01</v>
      </c>
      <c r="E2378" s="3" t="str">
        <f>CLEAN("STH 65 - USH 63")</f>
        <v>STH 65 - USH 63</v>
      </c>
      <c r="F2378" s="3" t="str">
        <f>CLEAN("CTH G AND CTH T INTERSECTION")</f>
        <v>CTH G AND CTH T INTERSECTION</v>
      </c>
      <c r="G2378" s="3" t="str">
        <f>CLEAN("DESIGN - FULL PS&amp;E/SAFETY")</f>
        <v>DESIGN - FULL PS&amp;E/SAFETY</v>
      </c>
      <c r="H2378" s="2" t="str">
        <f>CLEAN("CTH G")</f>
        <v>CTH G</v>
      </c>
      <c r="I2378" s="2" t="str">
        <f t="shared" si="376"/>
        <v>206</v>
      </c>
    </row>
    <row r="2379" spans="1:9" x14ac:dyDescent="0.35">
      <c r="A2379" s="2" t="str">
        <f t="shared" si="374"/>
        <v>ST. CROIX</v>
      </c>
      <c r="B2379" s="2" t="str">
        <f t="shared" si="375"/>
        <v>SAINT CROIX COUNTY</v>
      </c>
      <c r="C2379" s="2" t="s">
        <v>1554</v>
      </c>
      <c r="D2379" s="2" t="str">
        <f>CLEAN("8944-04-01")</f>
        <v>8944-04-01</v>
      </c>
      <c r="E2379" s="3" t="str">
        <f>CLEAN("HUDSON - NEW RICHMOND")</f>
        <v>HUDSON - NEW RICHMOND</v>
      </c>
      <c r="F2379" s="3" t="str">
        <f>CLEAN("MCCUTCHEON ROAD INTERSECTION")</f>
        <v>MCCUTCHEON ROAD INTERSECTION</v>
      </c>
      <c r="G2379" s="3" t="str">
        <f>CLEAN("DESIGN - FULL PS&amp;E SAFETY")</f>
        <v>DESIGN - FULL PS&amp;E SAFETY</v>
      </c>
      <c r="H2379" s="2" t="str">
        <f>CLEAN("CTH A")</f>
        <v>CTH A</v>
      </c>
      <c r="I2379" s="2" t="str">
        <f t="shared" si="376"/>
        <v>206</v>
      </c>
    </row>
    <row r="2380" spans="1:9" x14ac:dyDescent="0.35">
      <c r="A2380" s="2" t="str">
        <f t="shared" si="374"/>
        <v>ST. CROIX</v>
      </c>
      <c r="B2380" s="2" t="str">
        <f t="shared" si="375"/>
        <v>SAINT CROIX COUNTY</v>
      </c>
      <c r="C2380" s="2" t="s">
        <v>1858</v>
      </c>
      <c r="D2380" s="2" t="str">
        <f>CLEAN("8944-04-02")</f>
        <v>8944-04-02</v>
      </c>
      <c r="E2380" s="3" t="str">
        <f>CLEAN("HUDSON - NEW RICHMOND")</f>
        <v>HUDSON - NEW RICHMOND</v>
      </c>
      <c r="F2380" s="3" t="str">
        <f>CLEAN("CTH K/115TH STREET TO W 4TH STREET")</f>
        <v>CTH K/115TH STREET TO W 4TH STREET</v>
      </c>
      <c r="G2380" s="3" t="str">
        <f>CLEAN("DESIGN/CARBON REDUCTION")</f>
        <v>DESIGN/CARBON REDUCTION</v>
      </c>
      <c r="H2380" s="2" t="str">
        <f>CLEAN("CTH A")</f>
        <v>CTH A</v>
      </c>
      <c r="I2380" s="2" t="str">
        <f t="shared" si="376"/>
        <v>206</v>
      </c>
    </row>
    <row r="2381" spans="1:9" x14ac:dyDescent="0.35">
      <c r="A2381" s="2" t="str">
        <f t="shared" si="374"/>
        <v>ST. CROIX</v>
      </c>
      <c r="B2381" s="2" t="str">
        <f t="shared" si="375"/>
        <v>SAINT CROIX COUNTY</v>
      </c>
      <c r="C2381" s="2" t="s">
        <v>2285</v>
      </c>
      <c r="D2381" s="2" t="str">
        <f>CLEAN("8080-00-02")</f>
        <v>8080-00-02</v>
      </c>
      <c r="E2381" s="3" t="str">
        <f>CLEAN("ST CROIX COUNTY  HWY 35 TRAIL")</f>
        <v>ST CROIX COUNTY  HWY 35 TRAIL</v>
      </c>
      <c r="F2381" s="3" t="str">
        <f>CLEAN("NORTH END ROAD TO OLD HWY 35")</f>
        <v>NORTH END ROAD TO OLD HWY 35</v>
      </c>
      <c r="G2381" s="3" t="str">
        <f>CLEAN("DESIGN/TAP/BIKE PED TRAIL")</f>
        <v>DESIGN/TAP/BIKE PED TRAIL</v>
      </c>
      <c r="H2381" s="2" t="str">
        <f>CLEAN("OFF SYS")</f>
        <v>OFF SYS</v>
      </c>
      <c r="I2381" s="2" t="str">
        <f>CLEAN("290")</f>
        <v>290</v>
      </c>
    </row>
    <row r="2382" spans="1:9" x14ac:dyDescent="0.35">
      <c r="A2382" s="2" t="str">
        <f t="shared" si="374"/>
        <v>ST. CROIX</v>
      </c>
      <c r="B2382" s="2" t="str">
        <f t="shared" si="375"/>
        <v>SAINT CROIX COUNTY</v>
      </c>
      <c r="C2382" s="2" t="s">
        <v>1742</v>
      </c>
      <c r="D2382" s="2" t="str">
        <f>CLEAN("8080-00-03")</f>
        <v>8080-00-03</v>
      </c>
      <c r="E2382" s="3" t="str">
        <f>CLEAN("ST CROIX COUNTY  STH 35 TRAIL")</f>
        <v>ST CROIX COUNTY  STH 35 TRAIL</v>
      </c>
      <c r="F2382" s="3" t="str">
        <f>CLEAN("OLD HIGHWAY 35 TO CTH V - PHASE II")</f>
        <v>OLD HIGHWAY 35 TO CTH V - PHASE II</v>
      </c>
      <c r="G2382" s="3" t="str">
        <f>CLEAN("DESIGN/BIKE PED TRAIL/TAP")</f>
        <v>DESIGN/BIKE PED TRAIL/TAP</v>
      </c>
      <c r="H2382" s="2" t="str">
        <f>CLEAN("OFF SYS")</f>
        <v>OFF SYS</v>
      </c>
      <c r="I2382" s="2" t="str">
        <f>CLEAN("290")</f>
        <v>290</v>
      </c>
    </row>
    <row r="2383" spans="1:9" x14ac:dyDescent="0.35">
      <c r="A2383" s="2" t="str">
        <f t="shared" si="374"/>
        <v>ST. CROIX</v>
      </c>
      <c r="B2383" s="2" t="str">
        <f t="shared" si="375"/>
        <v>SAINT CROIX COUNTY</v>
      </c>
      <c r="C2383" s="2" t="s">
        <v>1741</v>
      </c>
      <c r="D2383" s="2" t="str">
        <f>CLEAN("8080-00-05")</f>
        <v>8080-00-05</v>
      </c>
      <c r="E2383" s="3" t="str">
        <f>CLEAN("ST CROIX COUNTY  STH 35 TRAIL")</f>
        <v>ST CROIX COUNTY  STH 35 TRAIL</v>
      </c>
      <c r="F2383" s="3" t="str">
        <f>CLEAN("CTH V TO 125TH AVE - PHASE III")</f>
        <v>CTH V TO 125TH AVE - PHASE III</v>
      </c>
      <c r="G2383" s="3" t="str">
        <f>CLEAN("DESIGN/BIKE PED TRAIL/CRP")</f>
        <v>DESIGN/BIKE PED TRAIL/CRP</v>
      </c>
      <c r="H2383" s="2" t="str">
        <f>CLEAN("OFF SYS")</f>
        <v>OFF SYS</v>
      </c>
      <c r="I2383" s="2" t="str">
        <f>CLEAN("206")</f>
        <v>206</v>
      </c>
    </row>
    <row r="2384" spans="1:9" x14ac:dyDescent="0.35">
      <c r="A2384" s="2" t="str">
        <f t="shared" si="374"/>
        <v>ST. CROIX</v>
      </c>
      <c r="B2384" s="2" t="str">
        <f t="shared" si="375"/>
        <v>SAINT CROIX COUNTY</v>
      </c>
      <c r="C2384" s="2" t="s">
        <v>1146</v>
      </c>
      <c r="D2384" s="2" t="str">
        <f>CLEAN("8080-00-72")</f>
        <v>8080-00-72</v>
      </c>
      <c r="E2384" s="3" t="str">
        <f>CLEAN("ST CROIX COUNTY  HWY 35 TRAIL")</f>
        <v>ST CROIX COUNTY  HWY 35 TRAIL</v>
      </c>
      <c r="F2384" s="3" t="str">
        <f>CLEAN("NORTH END ROAD TO OLD HWY 35")</f>
        <v>NORTH END ROAD TO OLD HWY 35</v>
      </c>
      <c r="G2384" s="3" t="str">
        <f>CLEAN("CONSTR/TAP/BIKE PED TRAIL")</f>
        <v>CONSTR/TAP/BIKE PED TRAIL</v>
      </c>
      <c r="H2384" s="2" t="str">
        <f>CLEAN("OFF SYS")</f>
        <v>OFF SYS</v>
      </c>
      <c r="I2384" s="2" t="str">
        <f>CLEAN("290")</f>
        <v>290</v>
      </c>
    </row>
    <row r="2385" spans="1:9" x14ac:dyDescent="0.35">
      <c r="A2385" s="2" t="str">
        <f t="shared" si="374"/>
        <v>ST. CROIX</v>
      </c>
      <c r="B2385" s="2" t="str">
        <f t="shared" si="375"/>
        <v>SAINT CROIX COUNTY</v>
      </c>
      <c r="C2385" s="2" t="s">
        <v>1312</v>
      </c>
      <c r="D2385" s="2" t="str">
        <f>CLEAN("8941-05-71")</f>
        <v>8941-05-71</v>
      </c>
      <c r="E2385" s="3" t="str">
        <f>CLEAN("NEW RICHMOND - JEWETT")</f>
        <v>NEW RICHMOND - JEWETT</v>
      </c>
      <c r="F2385" s="3" t="str">
        <f>CLEAN("170TH STREET NORTH TO CTH T")</f>
        <v>170TH STREET NORTH TO CTH T</v>
      </c>
      <c r="G2385" s="3" t="str">
        <f>CLEAN("CONSTRUCTION/RECONDITION")</f>
        <v>CONSTRUCTION/RECONDITION</v>
      </c>
      <c r="H2385" s="2" t="str">
        <f>CLEAN("CTH K")</f>
        <v>CTH K</v>
      </c>
      <c r="I2385" s="2" t="str">
        <f>CLEAN("206")</f>
        <v>206</v>
      </c>
    </row>
    <row r="2386" spans="1:9" x14ac:dyDescent="0.35">
      <c r="A2386" s="2" t="str">
        <f t="shared" si="374"/>
        <v>ST. CROIX</v>
      </c>
      <c r="B2386" s="2" t="str">
        <f t="shared" si="375"/>
        <v>SAINT CROIX COUNTY</v>
      </c>
      <c r="C2386" s="2" t="s">
        <v>1545</v>
      </c>
      <c r="D2386" s="2" t="str">
        <f>CLEAN("8943-00-01")</f>
        <v>8943-00-01</v>
      </c>
      <c r="E2386" s="3" t="str">
        <f>CLEAN("USH 63 - STH 128")</f>
        <v>USH 63 - STH 128</v>
      </c>
      <c r="F2386" s="3" t="str">
        <f>CLEAN("CTH D TO STH 128")</f>
        <v>CTH D TO STH 128</v>
      </c>
      <c r="G2386" s="3" t="str">
        <f>CLEAN("DESIGN - FULL PS&amp;E RESURFACE")</f>
        <v>DESIGN - FULL PS&amp;E RESURFACE</v>
      </c>
      <c r="H2386" s="2" t="str">
        <f>CLEAN("CTH DD")</f>
        <v>CTH DD</v>
      </c>
      <c r="I2386" s="2" t="str">
        <f>CLEAN("206")</f>
        <v>206</v>
      </c>
    </row>
    <row r="2387" spans="1:9" x14ac:dyDescent="0.35">
      <c r="A2387" s="2" t="str">
        <f t="shared" si="374"/>
        <v>ST. CROIX</v>
      </c>
      <c r="B2387" s="2" t="str">
        <f t="shared" si="375"/>
        <v>SAINT CROIX COUNTY</v>
      </c>
      <c r="C2387" s="2" t="s">
        <v>1373</v>
      </c>
      <c r="D2387" s="2" t="str">
        <f>CLEAN("8944-04-71")</f>
        <v>8944-04-71</v>
      </c>
      <c r="E2387" s="3" t="str">
        <f>CLEAN("HUDSON - NEW RICHMOND")</f>
        <v>HUDSON - NEW RICHMOND</v>
      </c>
      <c r="F2387" s="3" t="str">
        <f>CLEAN("MCCUTCHEON ROAD INTERSECTION")</f>
        <v>MCCUTCHEON ROAD INTERSECTION</v>
      </c>
      <c r="G2387" s="3" t="str">
        <f>CLEAN("CONSTRUCTION/SAFETY")</f>
        <v>CONSTRUCTION/SAFETY</v>
      </c>
      <c r="H2387" s="2" t="str">
        <f>CLEAN("CTH A")</f>
        <v>CTH A</v>
      </c>
      <c r="I2387" s="2" t="str">
        <f>CLEAN("206")</f>
        <v>206</v>
      </c>
    </row>
    <row r="2388" spans="1:9" x14ac:dyDescent="0.35">
      <c r="A2388" s="2" t="str">
        <f>CLEAN("DANE")</f>
        <v>DANE</v>
      </c>
      <c r="B2388" s="2" t="str">
        <f>CLEAN("Sanitary District 3 Town of Dunn")</f>
        <v>Sanitary District 3 Town of Dunn</v>
      </c>
      <c r="C2388" s="2" t="s">
        <v>356</v>
      </c>
      <c r="D2388" s="2" t="str">
        <f>CLEAN("5845-16-89")</f>
        <v>5845-16-89</v>
      </c>
      <c r="E2388" s="3" t="str">
        <f>CLEAN("STOUGHTON - MADISON")</f>
        <v>STOUGHTON - MADISON</v>
      </c>
      <c r="F2388" s="3" t="str">
        <f>CLEAN("EXCHANGE ST TO LARSON BEACH RD")</f>
        <v>EXCHANGE ST TO LARSON BEACH RD</v>
      </c>
      <c r="G2388" s="3" t="str">
        <f>CLEAN("CONST/ TDSD/ RECST")</f>
        <v>CONST/ TDSD/ RECST</v>
      </c>
      <c r="H2388" s="2" t="str">
        <f>CLEAN("USH 051")</f>
        <v>USH 051</v>
      </c>
      <c r="I2388" s="2" t="str">
        <f>CLEAN("302")</f>
        <v>302</v>
      </c>
    </row>
    <row r="2389" spans="1:9" x14ac:dyDescent="0.35">
      <c r="A2389" s="2" t="str">
        <f t="shared" ref="A2389:A2409" si="377">CLEAN("SAUK")</f>
        <v>SAUK</v>
      </c>
      <c r="B2389" s="2" t="str">
        <f t="shared" ref="B2389:B2408" si="378">CLEAN("SAUK COUNTY")</f>
        <v>SAUK COUNTY</v>
      </c>
      <c r="C2389" s="2" t="s">
        <v>1746</v>
      </c>
      <c r="D2389" s="2" t="str">
        <f>CLEAN("5090-00-00")</f>
        <v>5090-00-00</v>
      </c>
      <c r="E2389" s="3" t="str">
        <f>CLEAN("STH 33 - CTH W (CTH X)")</f>
        <v>STH 33 - CTH W (CTH X)</v>
      </c>
      <c r="F2389" s="3" t="str">
        <f>CLEAN("BARABOO RIVER BRIDGE B-56-0020")</f>
        <v>BARABOO RIVER BRIDGE B-56-0020</v>
      </c>
      <c r="G2389" s="3" t="str">
        <f>CLEAN("DESIGN/BRIDGE REPLACEMENT")</f>
        <v>DESIGN/BRIDGE REPLACEMENT</v>
      </c>
      <c r="H2389" s="2" t="str">
        <f>CLEAN("CTH X")</f>
        <v>CTH X</v>
      </c>
      <c r="I2389" s="2" t="str">
        <f t="shared" ref="I2389:I2398" si="379">CLEAN("205")</f>
        <v>205</v>
      </c>
    </row>
    <row r="2390" spans="1:9" x14ac:dyDescent="0.35">
      <c r="A2390" s="2" t="str">
        <f t="shared" si="377"/>
        <v>SAUK</v>
      </c>
      <c r="B2390" s="2" t="str">
        <f t="shared" si="378"/>
        <v>SAUK COUNTY</v>
      </c>
      <c r="C2390" s="2" t="s">
        <v>59</v>
      </c>
      <c r="D2390" s="2" t="str">
        <f>CLEAN("5090-00-70")</f>
        <v>5090-00-70</v>
      </c>
      <c r="E2390" s="3" t="str">
        <f>CLEAN("STH 33 - CTH W (CTH X)")</f>
        <v>STH 33 - CTH W (CTH X)</v>
      </c>
      <c r="F2390" s="3" t="str">
        <f>CLEAN("BARABOO RIVER BRIDGE B-56-0245")</f>
        <v>BARABOO RIVER BRIDGE B-56-0245</v>
      </c>
      <c r="G2390" s="3" t="str">
        <f>CLEAN("CONST OPS/BRIDGE REPLACEMENT")</f>
        <v>CONST OPS/BRIDGE REPLACEMENT</v>
      </c>
      <c r="H2390" s="2" t="str">
        <f>CLEAN("CTH X")</f>
        <v>CTH X</v>
      </c>
      <c r="I2390" s="2" t="str">
        <f t="shared" si="379"/>
        <v>205</v>
      </c>
    </row>
    <row r="2391" spans="1:9" x14ac:dyDescent="0.35">
      <c r="A2391" s="2" t="str">
        <f t="shared" si="377"/>
        <v>SAUK</v>
      </c>
      <c r="B2391" s="2" t="str">
        <f t="shared" si="378"/>
        <v>SAUK COUNTY</v>
      </c>
      <c r="C2391" s="2" t="s">
        <v>1747</v>
      </c>
      <c r="D2391" s="2" t="str">
        <f>CLEAN("5659-00-04")</f>
        <v>5659-00-04</v>
      </c>
      <c r="E2391" s="3" t="str">
        <f>CLEAN("CTH W - V NORTH FREEDOM")</f>
        <v>CTH W - V NORTH FREEDOM</v>
      </c>
      <c r="F2391" s="3" t="str">
        <f>CLEAN("BARABOO RIVER BRIDGE B-56-0672")</f>
        <v>BARABOO RIVER BRIDGE B-56-0672</v>
      </c>
      <c r="G2391" s="3" t="str">
        <f>CLEAN("DESIGN/BRIDGE REPLACEMENT")</f>
        <v>DESIGN/BRIDGE REPLACEMENT</v>
      </c>
      <c r="H2391" s="2" t="str">
        <f>CLEAN("CTH PF")</f>
        <v>CTH PF</v>
      </c>
      <c r="I2391" s="2" t="str">
        <f t="shared" si="379"/>
        <v>205</v>
      </c>
    </row>
    <row r="2392" spans="1:9" x14ac:dyDescent="0.35">
      <c r="A2392" s="2" t="str">
        <f t="shared" si="377"/>
        <v>SAUK</v>
      </c>
      <c r="B2392" s="2" t="str">
        <f t="shared" si="378"/>
        <v>SAUK COUNTY</v>
      </c>
      <c r="C2392" s="2" t="s">
        <v>400</v>
      </c>
      <c r="D2392" s="2" t="str">
        <f>CLEAN("5659-00-74")</f>
        <v>5659-00-74</v>
      </c>
      <c r="E2392" s="3" t="str">
        <f>CLEAN("CTH W - V NORTH FREEDOM")</f>
        <v>CTH W - V NORTH FREEDOM</v>
      </c>
      <c r="F2392" s="3" t="str">
        <f>CLEAN("BARABOO RIVER BRIDGE B-56-0255")</f>
        <v>BARABOO RIVER BRIDGE B-56-0255</v>
      </c>
      <c r="G2392" s="3" t="str">
        <f>CLEAN("CONST/BRIDGE REPLACEMENT")</f>
        <v>CONST/BRIDGE REPLACEMENT</v>
      </c>
      <c r="H2392" s="2" t="str">
        <f>CLEAN("CTH PF")</f>
        <v>CTH PF</v>
      </c>
      <c r="I2392" s="2" t="str">
        <f t="shared" si="379"/>
        <v>205</v>
      </c>
    </row>
    <row r="2393" spans="1:9" x14ac:dyDescent="0.35">
      <c r="A2393" s="2" t="str">
        <f t="shared" si="377"/>
        <v>SAUK</v>
      </c>
      <c r="B2393" s="2" t="str">
        <f t="shared" si="378"/>
        <v>SAUK COUNTY</v>
      </c>
      <c r="C2393" s="2" t="s">
        <v>2094</v>
      </c>
      <c r="D2393" s="2" t="str">
        <f>CLEAN("5677-00-08")</f>
        <v>5677-00-08</v>
      </c>
      <c r="E2393" s="3" t="str">
        <f>CLEAN("CTH G - STH 23")</f>
        <v>CTH G - STH 23</v>
      </c>
      <c r="F2393" s="3" t="str">
        <f>CLEAN("SUGAR GROVE CREEK  P-56-0909")</f>
        <v>SUGAR GROVE CREEK  P-56-0909</v>
      </c>
      <c r="G2393" s="3" t="str">
        <f>CLEAN("DESIGN/PLAN CHECK REVIEW/BR REPLACE")</f>
        <v>DESIGN/PLAN CHECK REVIEW/BR REPLACE</v>
      </c>
      <c r="H2393" s="2" t="str">
        <f>CLEAN("CTH N")</f>
        <v>CTH N</v>
      </c>
      <c r="I2393" s="2" t="str">
        <f t="shared" si="379"/>
        <v>205</v>
      </c>
    </row>
    <row r="2394" spans="1:9" x14ac:dyDescent="0.35">
      <c r="A2394" s="2" t="str">
        <f t="shared" si="377"/>
        <v>SAUK</v>
      </c>
      <c r="B2394" s="2" t="str">
        <f t="shared" si="378"/>
        <v>SAUK COUNTY</v>
      </c>
      <c r="C2394" s="2" t="s">
        <v>467</v>
      </c>
      <c r="D2394" s="2" t="str">
        <f>CLEAN("5677-00-78")</f>
        <v>5677-00-78</v>
      </c>
      <c r="E2394" s="3" t="str">
        <f>CLEAN("CTH G - STH 23")</f>
        <v>CTH G - STH 23</v>
      </c>
      <c r="F2394" s="3" t="str">
        <f>CLEAN("SUGAR GROVE CREEK  B-56-0241")</f>
        <v>SUGAR GROVE CREEK  B-56-0241</v>
      </c>
      <c r="G2394" s="3" t="str">
        <f>CLEAN("CONST/BRIDGE REPLACEMENT")</f>
        <v>CONST/BRIDGE REPLACEMENT</v>
      </c>
      <c r="H2394" s="2" t="str">
        <f>CLEAN("CTH N")</f>
        <v>CTH N</v>
      </c>
      <c r="I2394" s="2" t="str">
        <f t="shared" si="379"/>
        <v>205</v>
      </c>
    </row>
    <row r="2395" spans="1:9" x14ac:dyDescent="0.35">
      <c r="A2395" s="2" t="str">
        <f t="shared" si="377"/>
        <v>SAUK</v>
      </c>
      <c r="B2395" s="2" t="str">
        <f t="shared" si="378"/>
        <v>SAUK COUNTY</v>
      </c>
      <c r="C2395" s="2" t="s">
        <v>2080</v>
      </c>
      <c r="D2395" s="2" t="str">
        <f>CLEAN("5678-00-03")</f>
        <v>5678-00-03</v>
      </c>
      <c r="E2395" s="3" t="str">
        <f>CLEAN("CTH PF - US 12")</f>
        <v>CTH PF - US 12</v>
      </c>
      <c r="F2395" s="3" t="str">
        <f>CLEAN("PINE CREEK BRIDGE  B-56-0788")</f>
        <v>PINE CREEK BRIDGE  B-56-0788</v>
      </c>
      <c r="G2395" s="3" t="str">
        <f>CLEAN("DESIGN/PLAN CHECK REVIEW/BR RECONST")</f>
        <v>DESIGN/PLAN CHECK REVIEW/BR RECONST</v>
      </c>
      <c r="H2395" s="2" t="str">
        <f>CLEAN("CTH W")</f>
        <v>CTH W</v>
      </c>
      <c r="I2395" s="2" t="str">
        <f t="shared" si="379"/>
        <v>205</v>
      </c>
    </row>
    <row r="2396" spans="1:9" x14ac:dyDescent="0.35">
      <c r="A2396" s="2" t="str">
        <f t="shared" si="377"/>
        <v>SAUK</v>
      </c>
      <c r="B2396" s="2" t="str">
        <f t="shared" si="378"/>
        <v>SAUK COUNTY</v>
      </c>
      <c r="C2396" s="2" t="s">
        <v>1878</v>
      </c>
      <c r="D2396" s="2" t="str">
        <f>CLEAN("5678-00-04")</f>
        <v>5678-00-04</v>
      </c>
      <c r="E2396" s="3" t="str">
        <f>CLEAN("CTH I - USH 12 (CTH W)")</f>
        <v>CTH I - USH 12 (CTH W)</v>
      </c>
      <c r="F2396" s="3" t="str">
        <f>CLEAN("SKILLET CREEK BRIDGE B-56-0595")</f>
        <v>SKILLET CREEK BRIDGE B-56-0595</v>
      </c>
      <c r="G2396" s="3" t="str">
        <f>CLEAN("DESIGN/FULL PS&amp;E BRRPL")</f>
        <v>DESIGN/FULL PS&amp;E BRRPL</v>
      </c>
      <c r="H2396" s="2" t="str">
        <f>CLEAN("CTH W")</f>
        <v>CTH W</v>
      </c>
      <c r="I2396" s="2" t="str">
        <f t="shared" si="379"/>
        <v>205</v>
      </c>
    </row>
    <row r="2397" spans="1:9" x14ac:dyDescent="0.35">
      <c r="A2397" s="2" t="str">
        <f t="shared" si="377"/>
        <v>SAUK</v>
      </c>
      <c r="B2397" s="2" t="str">
        <f t="shared" si="378"/>
        <v>SAUK COUNTY</v>
      </c>
      <c r="C2397" s="2" t="s">
        <v>130</v>
      </c>
      <c r="D2397" s="2" t="str">
        <f>CLEAN("5678-00-74")</f>
        <v>5678-00-74</v>
      </c>
      <c r="E2397" s="3" t="str">
        <f>CLEAN("CTH I - USH 12 (CTH W)")</f>
        <v>CTH I - USH 12 (CTH W)</v>
      </c>
      <c r="F2397" s="3" t="str">
        <f>CLEAN("SKILLET CREEK BRIDGE B-56-0246")</f>
        <v>SKILLET CREEK BRIDGE B-56-0246</v>
      </c>
      <c r="G2397" s="3" t="str">
        <f>CLEAN("CONST OPS/BRIDGE REPLACEMENT")</f>
        <v>CONST OPS/BRIDGE REPLACEMENT</v>
      </c>
      <c r="H2397" s="2" t="str">
        <f>CLEAN("CTH W")</f>
        <v>CTH W</v>
      </c>
      <c r="I2397" s="2" t="str">
        <f t="shared" si="379"/>
        <v>205</v>
      </c>
    </row>
    <row r="2398" spans="1:9" x14ac:dyDescent="0.35">
      <c r="A2398" s="2" t="str">
        <f t="shared" si="377"/>
        <v>SAUK</v>
      </c>
      <c r="B2398" s="2" t="str">
        <f t="shared" si="378"/>
        <v>SAUK COUNTY</v>
      </c>
      <c r="C2398" s="2" t="s">
        <v>2196</v>
      </c>
      <c r="D2398" s="2" t="str">
        <f>CLEAN("5799-00-04")</f>
        <v>5799-00-04</v>
      </c>
      <c r="E2398" s="3" t="str">
        <f>CLEAN("STH 33 - REEDSBURG")</f>
        <v>STH 33 - REEDSBURG</v>
      </c>
      <c r="F2398" s="3" t="str">
        <f>CLEAN("HAY CREEK BRIDGE P-56-0090")</f>
        <v>HAY CREEK BRIDGE P-56-0090</v>
      </c>
      <c r="G2398" s="3" t="str">
        <f>CLEAN("DESIGN/PLAN CHECK REVIEW/RECST")</f>
        <v>DESIGN/PLAN CHECK REVIEW/RECST</v>
      </c>
      <c r="H2398" s="2" t="str">
        <f>CLEAN("CTH V")</f>
        <v>CTH V</v>
      </c>
      <c r="I2398" s="2" t="str">
        <f t="shared" si="379"/>
        <v>205</v>
      </c>
    </row>
    <row r="2399" spans="1:9" x14ac:dyDescent="0.35">
      <c r="A2399" s="2" t="str">
        <f t="shared" si="377"/>
        <v>SAUK</v>
      </c>
      <c r="B2399" s="2" t="str">
        <f t="shared" si="378"/>
        <v>SAUK COUNTY</v>
      </c>
      <c r="C2399" s="2" t="s">
        <v>2925</v>
      </c>
      <c r="D2399" s="2" t="str">
        <f>CLEAN("5852-00-05")</f>
        <v>5852-00-05</v>
      </c>
      <c r="E2399" s="3" t="str">
        <f>CLEAN("WISCONSIN RIVER BICYCLE/PED BRIDGE")</f>
        <v>WISCONSIN RIVER BICYCLE/PED BRIDGE</v>
      </c>
      <c r="F2399" s="3" t="str">
        <f>CLEAN("GREAT RIVER TRAIL IN SAUK CITY")</f>
        <v>GREAT RIVER TRAIL IN SAUK CITY</v>
      </c>
      <c r="G2399" s="3" t="str">
        <f>CLEAN("PE/PL CHECK REVIEW BIKE/PED BRIDGE")</f>
        <v>PE/PL CHECK REVIEW BIKE/PED BRIDGE</v>
      </c>
      <c r="H2399" s="2" t="str">
        <f>CLEAN("NON HWY")</f>
        <v>NON HWY</v>
      </c>
      <c r="I2399" s="2" t="str">
        <f>CLEAN("290")</f>
        <v>290</v>
      </c>
    </row>
    <row r="2400" spans="1:9" x14ac:dyDescent="0.35">
      <c r="A2400" s="2" t="str">
        <f t="shared" si="377"/>
        <v>SAUK</v>
      </c>
      <c r="B2400" s="2" t="str">
        <f t="shared" si="378"/>
        <v>SAUK COUNTY</v>
      </c>
      <c r="C2400" s="2" t="s">
        <v>1050</v>
      </c>
      <c r="D2400" s="2" t="str">
        <f>CLEAN("5897-00-60")</f>
        <v>5897-00-60</v>
      </c>
      <c r="E2400" s="3" t="str">
        <f>CLEAN("REEDSBURG - WISCONSIN DELLS")</f>
        <v>REEDSBURG - WISCONSIN DELLS</v>
      </c>
      <c r="F2400" s="3" t="str">
        <f>CLEAN("GOLF COURSE ROAD TO OLD 12")</f>
        <v>GOLF COURSE ROAD TO OLD 12</v>
      </c>
      <c r="G2400" s="3" t="str">
        <f>CLEAN("CONST/SIGNING/MARKING IMPROVEMENTS")</f>
        <v>CONST/SIGNING/MARKING IMPROVEMENTS</v>
      </c>
      <c r="H2400" s="2" t="str">
        <f>CLEAN("CTH H")</f>
        <v>CTH H</v>
      </c>
      <c r="I2400" s="2" t="str">
        <f>CLEAN("206")</f>
        <v>206</v>
      </c>
    </row>
    <row r="2401" spans="1:9" x14ac:dyDescent="0.35">
      <c r="A2401" s="2" t="str">
        <f t="shared" si="377"/>
        <v>SAUK</v>
      </c>
      <c r="B2401" s="2" t="str">
        <f t="shared" si="378"/>
        <v>SAUK COUNTY</v>
      </c>
      <c r="C2401" s="2" t="s">
        <v>1769</v>
      </c>
      <c r="D2401" s="2" t="str">
        <f>CLEAN("5899-00-02")</f>
        <v>5899-00-02</v>
      </c>
      <c r="E2401" s="3" t="str">
        <f>CLEAN("CTH H - CTH J (CTH HH)")</f>
        <v>CTH H - CTH J (CTH HH)</v>
      </c>
      <c r="F2401" s="3" t="str">
        <f>CLEAN("DELL CREEK BRIDGE P-56-0073")</f>
        <v>DELL CREEK BRIDGE P-56-0073</v>
      </c>
      <c r="G2401" s="3" t="str">
        <f>CLEAN("DESIGN/BRIDGE REPLACEMENT")</f>
        <v>DESIGN/BRIDGE REPLACEMENT</v>
      </c>
      <c r="H2401" s="2" t="str">
        <f>CLEAN("CTH HH")</f>
        <v>CTH HH</v>
      </c>
      <c r="I2401" s="2" t="str">
        <f>CLEAN("205")</f>
        <v>205</v>
      </c>
    </row>
    <row r="2402" spans="1:9" x14ac:dyDescent="0.35">
      <c r="A2402" s="2" t="str">
        <f t="shared" si="377"/>
        <v>SAUK</v>
      </c>
      <c r="B2402" s="2" t="str">
        <f t="shared" si="378"/>
        <v>SAUK COUNTY</v>
      </c>
      <c r="C2402" s="2" t="s">
        <v>2284</v>
      </c>
      <c r="D2402" s="2" t="str">
        <f>CLEAN("5899-00-30")</f>
        <v>5899-00-30</v>
      </c>
      <c r="E2402" s="3" t="str">
        <f>CLEAN("REEDSBURG - LYNDON STATION")</f>
        <v>REEDSBURG - LYNDON STATION</v>
      </c>
      <c r="F2402" s="3" t="str">
        <f>CLEAN("CTH H TO THE JUNEAU COUNTY LINE")</f>
        <v>CTH H TO THE JUNEAU COUNTY LINE</v>
      </c>
      <c r="G2402" s="3" t="str">
        <f>CLEAN("DESIGN/SIGNING/MARKING/CURVE PAV'T")</f>
        <v>DESIGN/SIGNING/MARKING/CURVE PAV'T</v>
      </c>
      <c r="H2402" s="2" t="str">
        <f>CLEAN("CTH HH")</f>
        <v>CTH HH</v>
      </c>
      <c r="I2402" s="2" t="str">
        <f>CLEAN("206")</f>
        <v>206</v>
      </c>
    </row>
    <row r="2403" spans="1:9" x14ac:dyDescent="0.35">
      <c r="A2403" s="2" t="str">
        <f t="shared" si="377"/>
        <v>SAUK</v>
      </c>
      <c r="B2403" s="2" t="str">
        <f t="shared" si="378"/>
        <v>SAUK COUNTY</v>
      </c>
      <c r="C2403" s="2" t="s">
        <v>1051</v>
      </c>
      <c r="D2403" s="2" t="str">
        <f>CLEAN("5899-00-60")</f>
        <v>5899-00-60</v>
      </c>
      <c r="E2403" s="3" t="str">
        <f>CLEAN("REEDSBURG - LYNDON STATION")</f>
        <v>REEDSBURG - LYNDON STATION</v>
      </c>
      <c r="F2403" s="3" t="str">
        <f>CLEAN("CTH H TO THE JUNEAU COUNTY LINE")</f>
        <v>CTH H TO THE JUNEAU COUNTY LINE</v>
      </c>
      <c r="G2403" s="3" t="str">
        <f>CLEAN("CONST/SIGNING/MARKING/CURVE PAV'T")</f>
        <v>CONST/SIGNING/MARKING/CURVE PAV'T</v>
      </c>
      <c r="H2403" s="2" t="str">
        <f>CLEAN("CTH HH")</f>
        <v>CTH HH</v>
      </c>
      <c r="I2403" s="2" t="str">
        <f>CLEAN("206")</f>
        <v>206</v>
      </c>
    </row>
    <row r="2404" spans="1:9" x14ac:dyDescent="0.35">
      <c r="A2404" s="2" t="str">
        <f t="shared" si="377"/>
        <v>SAUK</v>
      </c>
      <c r="B2404" s="2" t="str">
        <f t="shared" si="378"/>
        <v>SAUK COUNTY</v>
      </c>
      <c r="C2404" s="2" t="s">
        <v>2154</v>
      </c>
      <c r="D2404" s="2" t="str">
        <f>CLEAN("5908-00-04")</f>
        <v>5908-00-04</v>
      </c>
      <c r="E2404" s="3" t="str">
        <f>CLEAN("IRONTON - WONEWOC (CTH G)")</f>
        <v>IRONTON - WONEWOC (CTH G)</v>
      </c>
      <c r="F2404" s="3" t="str">
        <f>CLEAN("STH 58 TO JUNEAU COUNTY LINE")</f>
        <v>STH 58 TO JUNEAU COUNTY LINE</v>
      </c>
      <c r="G2404" s="3" t="str">
        <f>CLEAN("DESIGN/PLAN CHECK REVIEW/PVRPLA")</f>
        <v>DESIGN/PLAN CHECK REVIEW/PVRPLA</v>
      </c>
      <c r="H2404" s="2" t="str">
        <f>CLEAN("CTH G")</f>
        <v>CTH G</v>
      </c>
      <c r="I2404" s="2" t="str">
        <f>CLEAN("206")</f>
        <v>206</v>
      </c>
    </row>
    <row r="2405" spans="1:9" x14ac:dyDescent="0.35">
      <c r="A2405" s="2" t="str">
        <f t="shared" si="377"/>
        <v>SAUK</v>
      </c>
      <c r="B2405" s="2" t="str">
        <f t="shared" si="378"/>
        <v>SAUK COUNTY</v>
      </c>
      <c r="C2405" s="2" t="s">
        <v>2078</v>
      </c>
      <c r="D2405" s="2" t="str">
        <f>CLEAN("5963-00-02")</f>
        <v>5963-00-02</v>
      </c>
      <c r="E2405" s="3" t="str">
        <f>CLEAN("STH 130 - CTH G")</f>
        <v>STH 130 - CTH G</v>
      </c>
      <c r="F2405" s="3" t="str">
        <f>CLEAN("LITTLE BEAR CREEK BRIDGE  P-56-0907")</f>
        <v>LITTLE BEAR CREEK BRIDGE  P-56-0907</v>
      </c>
      <c r="G2405" s="3" t="str">
        <f>CLEAN("DESIGN/PLAN CHECK REVIEW/BR RECONST")</f>
        <v>DESIGN/PLAN CHECK REVIEW/BR RECONST</v>
      </c>
      <c r="H2405" s="2" t="str">
        <f>CLEAN("CTH B")</f>
        <v>CTH B</v>
      </c>
      <c r="I2405" s="2" t="str">
        <f>CLEAN("205")</f>
        <v>205</v>
      </c>
    </row>
    <row r="2406" spans="1:9" x14ac:dyDescent="0.35">
      <c r="A2406" s="2" t="str">
        <f t="shared" si="377"/>
        <v>SAUK</v>
      </c>
      <c r="B2406" s="2" t="str">
        <f t="shared" si="378"/>
        <v>SAUK COUNTY</v>
      </c>
      <c r="C2406" s="2" t="s">
        <v>107</v>
      </c>
      <c r="D2406" s="2" t="str">
        <f>CLEAN("5963-00-72")</f>
        <v>5963-00-72</v>
      </c>
      <c r="E2406" s="3" t="str">
        <f>CLEAN("STH 130 - CTH G")</f>
        <v>STH 130 - CTH G</v>
      </c>
      <c r="F2406" s="3" t="str">
        <f>CLEAN("LITTLE BEAR CREEK BRIDGE  C-56-2033")</f>
        <v>LITTLE BEAR CREEK BRIDGE  C-56-2033</v>
      </c>
      <c r="G2406" s="3" t="str">
        <f>CLEAN("CONST OPS/BRIDGE REPLACEMENT")</f>
        <v>CONST OPS/BRIDGE REPLACEMENT</v>
      </c>
      <c r="H2406" s="2" t="str">
        <f>CLEAN("CTH B")</f>
        <v>CTH B</v>
      </c>
      <c r="I2406" s="2" t="str">
        <f>CLEAN("205")</f>
        <v>205</v>
      </c>
    </row>
    <row r="2407" spans="1:9" x14ac:dyDescent="0.35">
      <c r="A2407" s="2" t="str">
        <f t="shared" si="377"/>
        <v>SAUK</v>
      </c>
      <c r="B2407" s="2" t="str">
        <f t="shared" si="378"/>
        <v>SAUK COUNTY</v>
      </c>
      <c r="C2407" s="2" t="s">
        <v>2092</v>
      </c>
      <c r="D2407" s="2" t="str">
        <f>CLEAN("5976-00-05")</f>
        <v>5976-00-05</v>
      </c>
      <c r="E2407" s="3" t="str">
        <f>CLEAN("CTH PF - USH 12")</f>
        <v>CTH PF - USH 12</v>
      </c>
      <c r="F2407" s="3" t="str">
        <f>CLEAN("SEELEY CREEK BRIDGE  B-56-0789")</f>
        <v>SEELEY CREEK BRIDGE  B-56-0789</v>
      </c>
      <c r="G2407" s="3" t="str">
        <f>CLEAN("DESIGN/PLAN CHECK REVIEW/BR REPLACE")</f>
        <v>DESIGN/PLAN CHECK REVIEW/BR REPLACE</v>
      </c>
      <c r="H2407" s="2" t="str">
        <f>CLEAN("CTH W")</f>
        <v>CTH W</v>
      </c>
      <c r="I2407" s="2" t="str">
        <f>CLEAN("205")</f>
        <v>205</v>
      </c>
    </row>
    <row r="2408" spans="1:9" x14ac:dyDescent="0.35">
      <c r="A2408" s="2" t="str">
        <f t="shared" si="377"/>
        <v>SAUK</v>
      </c>
      <c r="B2408" s="2" t="str">
        <f t="shared" si="378"/>
        <v>SAUK COUNTY</v>
      </c>
      <c r="C2408" s="2" t="s">
        <v>464</v>
      </c>
      <c r="D2408" s="2" t="str">
        <f>CLEAN("5976-00-75")</f>
        <v>5976-00-75</v>
      </c>
      <c r="E2408" s="3" t="str">
        <f>CLEAN("CTH PF - USH 12")</f>
        <v>CTH PF - USH 12</v>
      </c>
      <c r="F2408" s="3" t="str">
        <f>CLEAN("SEELEY CREEK BRIDGE  B-56-0242")</f>
        <v>SEELEY CREEK BRIDGE  B-56-0242</v>
      </c>
      <c r="G2408" s="3" t="str">
        <f>CLEAN("CONST/BRIDGE REPLACEMENT")</f>
        <v>CONST/BRIDGE REPLACEMENT</v>
      </c>
      <c r="H2408" s="2" t="str">
        <f>CLEAN("CTH W")</f>
        <v>CTH W</v>
      </c>
      <c r="I2408" s="2" t="str">
        <f>CLEAN("205")</f>
        <v>205</v>
      </c>
    </row>
    <row r="2409" spans="1:9" x14ac:dyDescent="0.35">
      <c r="A2409" s="2" t="str">
        <f t="shared" si="377"/>
        <v>SAUK</v>
      </c>
      <c r="B2409" s="2" t="str">
        <f>CLEAN("SAUK PRAIRIE SCHOOL DISTRICT")</f>
        <v>SAUK PRAIRIE SCHOOL DISTRICT</v>
      </c>
      <c r="C2409" s="2" t="s">
        <v>3343</v>
      </c>
      <c r="D2409" s="2" t="str">
        <f>CLEAN("1009-22-13")</f>
        <v>1009-22-13</v>
      </c>
      <c r="E2409" s="3" t="str">
        <f>CLEAN("Sauk Prarie SRTS")</f>
        <v>Sauk Prarie SRTS</v>
      </c>
      <c r="F2409" s="3" t="str">
        <f>CLEAN("SAUK PRARIE SCHOOL DISTRICT")</f>
        <v>SAUK PRARIE SCHOOL DISTRICT</v>
      </c>
      <c r="G2409" s="3" t="str">
        <f>CLEAN("SRTS PLANNING STUDY")</f>
        <v>SRTS PLANNING STUDY</v>
      </c>
      <c r="H2409" s="2" t="str">
        <f>CLEAN("NON HWY")</f>
        <v>NON HWY</v>
      </c>
      <c r="I2409" s="2" t="str">
        <f>CLEAN("290")</f>
        <v>290</v>
      </c>
    </row>
    <row r="2410" spans="1:9" x14ac:dyDescent="0.35">
      <c r="A2410" s="2" t="str">
        <f>CLEAN("MARINETTE")</f>
        <v>MARINETTE</v>
      </c>
      <c r="B2410" s="2" t="str">
        <f>CLEAN("SAULT SAINT MARIE BRIDGE CO")</f>
        <v>SAULT SAINT MARIE BRIDGE CO</v>
      </c>
      <c r="C2410" s="2" t="s">
        <v>3231</v>
      </c>
      <c r="D2410" s="2" t="str">
        <f>CLEAN("3710-30-50")</f>
        <v>3710-30-50</v>
      </c>
      <c r="E2410" s="3" t="str">
        <f>CLEAN("C MARINETTE  CLEVELAND AVE")</f>
        <v>C MARINETTE  CLEVELAND AVE</v>
      </c>
      <c r="F2410" s="3" t="str">
        <f>CLEAN("SSAM RR XING 181590W")</f>
        <v>SSAM RR XING 181590W</v>
      </c>
      <c r="G2410" s="3" t="str">
        <f>CLEAN("RR OPS/INSTALL WARNING SIGNALS")</f>
        <v>RR OPS/INSTALL WARNING SIGNALS</v>
      </c>
      <c r="H2410" s="2" t="str">
        <f>CLEAN("USH 041")</f>
        <v>USH 041</v>
      </c>
      <c r="I2410" s="2" t="str">
        <f>CLEAN("305")</f>
        <v>305</v>
      </c>
    </row>
    <row r="2411" spans="1:9" x14ac:dyDescent="0.35">
      <c r="A2411" s="2" t="str">
        <f>CLEAN("MARINETTE")</f>
        <v>MARINETTE</v>
      </c>
      <c r="B2411" s="2" t="str">
        <f>CLEAN("SAULT SAINT MARIE BRIDGE CO")</f>
        <v>SAULT SAINT MARIE BRIDGE CO</v>
      </c>
      <c r="C2411" s="2" t="s">
        <v>3232</v>
      </c>
      <c r="D2411" s="2" t="str">
        <f>CLEAN("3710-30-51")</f>
        <v>3710-30-51</v>
      </c>
      <c r="E2411" s="3" t="str">
        <f>CLEAN("C MARINETTE  HALL AVE/HATTIE ST")</f>
        <v>C MARINETTE  HALL AVE/HATTIE ST</v>
      </c>
      <c r="F2411" s="3" t="str">
        <f>CLEAN("SSAM RR XING 181595F")</f>
        <v>SSAM RR XING 181595F</v>
      </c>
      <c r="G2411" s="3" t="str">
        <f>CLEAN("RR OPS/INSTALL WARNING SIGNALS")</f>
        <v>RR OPS/INSTALL WARNING SIGNALS</v>
      </c>
      <c r="H2411" s="2" t="str">
        <f>CLEAN("USH 041")</f>
        <v>USH 041</v>
      </c>
      <c r="I2411" s="2" t="str">
        <f>CLEAN("305")</f>
        <v>305</v>
      </c>
    </row>
    <row r="2412" spans="1:9" x14ac:dyDescent="0.35">
      <c r="A2412" s="2" t="str">
        <f t="shared" ref="A2412:A2424" si="380">CLEAN("SAWYER")</f>
        <v>SAWYER</v>
      </c>
      <c r="B2412" s="2" t="str">
        <f t="shared" ref="B2412:B2424" si="381">CLEAN("SAWYER COUNTY")</f>
        <v>SAWYER COUNTY</v>
      </c>
      <c r="C2412" s="2" t="s">
        <v>1846</v>
      </c>
      <c r="D2412" s="2" t="str">
        <f>CLEAN("8452-00-00")</f>
        <v>8452-00-00</v>
      </c>
      <c r="E2412" s="3" t="str">
        <f>CLEAN("T LENROOT  TAG ALDER ROAD")</f>
        <v>T LENROOT  TAG ALDER ROAD</v>
      </c>
      <c r="F2412" s="3" t="str">
        <f>CLEAN("NAMEKAGON RIVER BRIDGE P570025")</f>
        <v>NAMEKAGON RIVER BRIDGE P570025</v>
      </c>
      <c r="G2412" s="3" t="str">
        <f>CLEAN("DESIGN/BRRPL")</f>
        <v>DESIGN/BRRPL</v>
      </c>
      <c r="H2412" s="2" t="str">
        <f>CLEAN("LOC STR")</f>
        <v>LOC STR</v>
      </c>
      <c r="I2412" s="2" t="str">
        <f>CLEAN("205")</f>
        <v>205</v>
      </c>
    </row>
    <row r="2413" spans="1:9" x14ac:dyDescent="0.35">
      <c r="A2413" s="2" t="str">
        <f t="shared" si="380"/>
        <v>SAWYER</v>
      </c>
      <c r="B2413" s="2" t="str">
        <f t="shared" si="381"/>
        <v>SAWYER COUNTY</v>
      </c>
      <c r="C2413" s="2" t="s">
        <v>1256</v>
      </c>
      <c r="D2413" s="2" t="str">
        <f>CLEAN("8452-00-70")</f>
        <v>8452-00-70</v>
      </c>
      <c r="E2413" s="3" t="str">
        <f>CLEAN("T LENROOT  TAG ALDER ROAD")</f>
        <v>T LENROOT  TAG ALDER ROAD</v>
      </c>
      <c r="F2413" s="3" t="str">
        <f>CLEAN("NAMEKAGON RIVER BRIDGE B-57-0091")</f>
        <v>NAMEKAGON RIVER BRIDGE B-57-0091</v>
      </c>
      <c r="G2413" s="3" t="str">
        <f>CLEAN("CONSTRUCTION/BRRPL")</f>
        <v>CONSTRUCTION/BRRPL</v>
      </c>
      <c r="H2413" s="2" t="str">
        <f>CLEAN("LOC STR")</f>
        <v>LOC STR</v>
      </c>
      <c r="I2413" s="2" t="str">
        <f>CLEAN("205")</f>
        <v>205</v>
      </c>
    </row>
    <row r="2414" spans="1:9" x14ac:dyDescent="0.35">
      <c r="A2414" s="2" t="str">
        <f t="shared" si="380"/>
        <v>SAWYER</v>
      </c>
      <c r="B2414" s="2" t="str">
        <f t="shared" si="381"/>
        <v>SAWYER COUNTY</v>
      </c>
      <c r="C2414" s="2" t="s">
        <v>1411</v>
      </c>
      <c r="D2414" s="2" t="str">
        <f>CLEAN("8460-00-00")</f>
        <v>8460-00-00</v>
      </c>
      <c r="E2414" s="3" t="str">
        <f>CLEAN("STH 40 - STH 27")</f>
        <v>STH 40 - STH 27</v>
      </c>
      <c r="F2414" s="3" t="str">
        <f>CLEAN("CHIPPEWA RIVER BRIDGE B-57-0018")</f>
        <v>CHIPPEWA RIVER BRIDGE B-57-0018</v>
      </c>
      <c r="G2414" s="3" t="str">
        <f>CLEAN("DESIGN - BRRHB/DECK REPLACEMENT")</f>
        <v>DESIGN - BRRHB/DECK REPLACEMENT</v>
      </c>
      <c r="H2414" s="2" t="str">
        <f>CLEAN("CTH D")</f>
        <v>CTH D</v>
      </c>
      <c r="I2414" s="2" t="str">
        <f>CLEAN("205")</f>
        <v>205</v>
      </c>
    </row>
    <row r="2415" spans="1:9" x14ac:dyDescent="0.35">
      <c r="A2415" s="2" t="str">
        <f t="shared" si="380"/>
        <v>SAWYER</v>
      </c>
      <c r="B2415" s="2" t="str">
        <f t="shared" si="381"/>
        <v>SAWYER COUNTY</v>
      </c>
      <c r="C2415" s="2" t="s">
        <v>1227</v>
      </c>
      <c r="D2415" s="2" t="str">
        <f>CLEAN("8460-00-70")</f>
        <v>8460-00-70</v>
      </c>
      <c r="E2415" s="3" t="str">
        <f>CLEAN("STH 40 - STH 27")</f>
        <v>STH 40 - STH 27</v>
      </c>
      <c r="F2415" s="3" t="str">
        <f>CLEAN("CHIPPEWA RIVER BRIDGE B-57-0018")</f>
        <v>CHIPPEWA RIVER BRIDGE B-57-0018</v>
      </c>
      <c r="G2415" s="3" t="str">
        <f>CLEAN("CONSTRUCTION/BRRHB/DECK REPLACMENT")</f>
        <v>CONSTRUCTION/BRRHB/DECK REPLACMENT</v>
      </c>
      <c r="H2415" s="2" t="str">
        <f>CLEAN("CTH D")</f>
        <v>CTH D</v>
      </c>
      <c r="I2415" s="2" t="str">
        <f>CLEAN("205")</f>
        <v>205</v>
      </c>
    </row>
    <row r="2416" spans="1:9" x14ac:dyDescent="0.35">
      <c r="A2416" s="2" t="str">
        <f t="shared" si="380"/>
        <v>SAWYER</v>
      </c>
      <c r="B2416" s="2" t="str">
        <f t="shared" si="381"/>
        <v>SAWYER COUNTY</v>
      </c>
      <c r="C2416" s="2" t="s">
        <v>1663</v>
      </c>
      <c r="D2416" s="2" t="str">
        <f>CLEAN("8772-00-01")</f>
        <v>8772-00-01</v>
      </c>
      <c r="E2416" s="3" t="str">
        <f>CLEAN("STH 27 - CTH K")</f>
        <v>STH 27 - CTH K</v>
      </c>
      <c r="F2416" s="3" t="str">
        <f>CLEAN("2ND ST TO CHIPPEWA TRAIL")</f>
        <v>2ND ST TO CHIPPEWA TRAIL</v>
      </c>
      <c r="G2416" s="3" t="str">
        <f>CLEAN("DESIGN - FULL PS&amp;E/RESURFACE")</f>
        <v>DESIGN - FULL PS&amp;E/RESURFACE</v>
      </c>
      <c r="H2416" s="2" t="str">
        <f>CLEAN("CTH B")</f>
        <v>CTH B</v>
      </c>
      <c r="I2416" s="2" t="str">
        <f>CLEAN("206")</f>
        <v>206</v>
      </c>
    </row>
    <row r="2417" spans="1:9" x14ac:dyDescent="0.35">
      <c r="A2417" s="2" t="str">
        <f t="shared" si="380"/>
        <v>SAWYER</v>
      </c>
      <c r="B2417" s="2" t="str">
        <f t="shared" si="381"/>
        <v>SAWYER COUNTY</v>
      </c>
      <c r="C2417" s="2" t="s">
        <v>1338</v>
      </c>
      <c r="D2417" s="2" t="str">
        <f>CLEAN("8772-00-71")</f>
        <v>8772-00-71</v>
      </c>
      <c r="E2417" s="3" t="str">
        <f>CLEAN("STH 27 - CTH K")</f>
        <v>STH 27 - CTH K</v>
      </c>
      <c r="F2417" s="3" t="str">
        <f>CLEAN("2ND ST TO CHIPPEWA TRAIL")</f>
        <v>2ND ST TO CHIPPEWA TRAIL</v>
      </c>
      <c r="G2417" s="3" t="str">
        <f>CLEAN("CONSTRUCTION/RESURFACE")</f>
        <v>CONSTRUCTION/RESURFACE</v>
      </c>
      <c r="H2417" s="2" t="str">
        <f>CLEAN("CTH B")</f>
        <v>CTH B</v>
      </c>
      <c r="I2417" s="2" t="str">
        <f>CLEAN("206")</f>
        <v>206</v>
      </c>
    </row>
    <row r="2418" spans="1:9" x14ac:dyDescent="0.35">
      <c r="A2418" s="2" t="str">
        <f t="shared" si="380"/>
        <v>SAWYER</v>
      </c>
      <c r="B2418" s="2" t="str">
        <f t="shared" si="381"/>
        <v>SAWYER COUNTY</v>
      </c>
      <c r="C2418" s="2" t="s">
        <v>1528</v>
      </c>
      <c r="D2418" s="2" t="str">
        <f>CLEAN("8773-00-02")</f>
        <v>8773-00-02</v>
      </c>
      <c r="E2418" s="3" t="str">
        <f>CLEAN("STH 70 - CTH B")</f>
        <v>STH 70 - CTH B</v>
      </c>
      <c r="F2418" s="3" t="str">
        <f>CLEAN("NORWIS ROAD TO CTH B")</f>
        <v>NORWIS ROAD TO CTH B</v>
      </c>
      <c r="G2418" s="3" t="str">
        <f>CLEAN("DESIGN - FULL PS&amp;E RECONSTRUCTION")</f>
        <v>DESIGN - FULL PS&amp;E RECONSTRUCTION</v>
      </c>
      <c r="H2418" s="2" t="str">
        <f>CLEAN("CTH E")</f>
        <v>CTH E</v>
      </c>
      <c r="I2418" s="2" t="str">
        <f>CLEAN("206")</f>
        <v>206</v>
      </c>
    </row>
    <row r="2419" spans="1:9" x14ac:dyDescent="0.35">
      <c r="A2419" s="2" t="str">
        <f t="shared" si="380"/>
        <v>SAWYER</v>
      </c>
      <c r="B2419" s="2" t="str">
        <f t="shared" si="381"/>
        <v>SAWYER COUNTY</v>
      </c>
      <c r="C2419" s="2" t="s">
        <v>1838</v>
      </c>
      <c r="D2419" s="2" t="str">
        <f>CLEAN("8773-00-03")</f>
        <v>8773-00-03</v>
      </c>
      <c r="E2419" s="3" t="str">
        <f>CLEAN("STH 27/70 - CTH B")</f>
        <v>STH 27/70 - CTH B</v>
      </c>
      <c r="F2419" s="3" t="str">
        <f>CLEAN("COUDERAY RIVER BRIDGE P570019")</f>
        <v>COUDERAY RIVER BRIDGE P570019</v>
      </c>
      <c r="G2419" s="3" t="str">
        <f>CLEAN("DESIGN/BRRPL")</f>
        <v>DESIGN/BRRPL</v>
      </c>
      <c r="H2419" s="2" t="str">
        <f>CLEAN("CTH E")</f>
        <v>CTH E</v>
      </c>
      <c r="I2419" s="2" t="str">
        <f>CLEAN("205")</f>
        <v>205</v>
      </c>
    </row>
    <row r="2420" spans="1:9" x14ac:dyDescent="0.35">
      <c r="A2420" s="2" t="str">
        <f t="shared" si="380"/>
        <v>SAWYER</v>
      </c>
      <c r="B2420" s="2" t="str">
        <f t="shared" si="381"/>
        <v>SAWYER COUNTY</v>
      </c>
      <c r="C2420" s="2" t="s">
        <v>1330</v>
      </c>
      <c r="D2420" s="2" t="str">
        <f>CLEAN("8773-00-72")</f>
        <v>8773-00-72</v>
      </c>
      <c r="E2420" s="3" t="str">
        <f>CLEAN("STH 70 - CTH B")</f>
        <v>STH 70 - CTH B</v>
      </c>
      <c r="F2420" s="3" t="str">
        <f>CLEAN("NORWIS ROAD TO CTH B")</f>
        <v>NORWIS ROAD TO CTH B</v>
      </c>
      <c r="G2420" s="3" t="str">
        <f>CLEAN("CONSTRUCTION/RECONSTRUCTION")</f>
        <v>CONSTRUCTION/RECONSTRUCTION</v>
      </c>
      <c r="H2420" s="2" t="str">
        <f>CLEAN("CTH E")</f>
        <v>CTH E</v>
      </c>
      <c r="I2420" s="2" t="str">
        <f>CLEAN("206")</f>
        <v>206</v>
      </c>
    </row>
    <row r="2421" spans="1:9" x14ac:dyDescent="0.35">
      <c r="A2421" s="2" t="str">
        <f t="shared" si="380"/>
        <v>SAWYER</v>
      </c>
      <c r="B2421" s="2" t="str">
        <f t="shared" si="381"/>
        <v>SAWYER COUNTY</v>
      </c>
      <c r="C2421" s="2" t="s">
        <v>2320</v>
      </c>
      <c r="D2421" s="2" t="str">
        <f>CLEAN("8777-00-00")</f>
        <v>8777-00-00</v>
      </c>
      <c r="E2421" s="3" t="str">
        <f>CLEAN("COUDERAY TO CTH B")</f>
        <v>COUDERAY TO CTH B</v>
      </c>
      <c r="F2421" s="3" t="str">
        <f>CLEAN("CHIPPEWA FLOWAGE BRIDGE B-57-0049")</f>
        <v>CHIPPEWA FLOWAGE BRIDGE B-57-0049</v>
      </c>
      <c r="G2421" s="3" t="str">
        <f>CLEAN("DESIGN-FULL PS&amp;E/BRIDGE REHAB")</f>
        <v>DESIGN-FULL PS&amp;E/BRIDGE REHAB</v>
      </c>
      <c r="H2421" s="2" t="str">
        <f>CLEAN("CTH CC")</f>
        <v>CTH CC</v>
      </c>
      <c r="I2421" s="2" t="str">
        <f>CLEAN("205")</f>
        <v>205</v>
      </c>
    </row>
    <row r="2422" spans="1:9" x14ac:dyDescent="0.35">
      <c r="A2422" s="2" t="str">
        <f t="shared" si="380"/>
        <v>SAWYER</v>
      </c>
      <c r="B2422" s="2" t="str">
        <f t="shared" si="381"/>
        <v>SAWYER COUNTY</v>
      </c>
      <c r="C2422" s="2" t="s">
        <v>1219</v>
      </c>
      <c r="D2422" s="2" t="str">
        <f>CLEAN("8777-00-70")</f>
        <v>8777-00-70</v>
      </c>
      <c r="E2422" s="3" t="str">
        <f>CLEAN("COUDERAY TO CTH B")</f>
        <v>COUDERAY TO CTH B</v>
      </c>
      <c r="F2422" s="3" t="str">
        <f>CLEAN("CHIPPEWA FLOWAGE BRIDGE B-57-0049")</f>
        <v>CHIPPEWA FLOWAGE BRIDGE B-57-0049</v>
      </c>
      <c r="G2422" s="3" t="str">
        <f>CLEAN("CONSTRUCTION/BRRHB")</f>
        <v>CONSTRUCTION/BRRHB</v>
      </c>
      <c r="H2422" s="2" t="str">
        <f>CLEAN("CTH CC")</f>
        <v>CTH CC</v>
      </c>
      <c r="I2422" s="2" t="str">
        <f>CLEAN("205")</f>
        <v>205</v>
      </c>
    </row>
    <row r="2423" spans="1:9" x14ac:dyDescent="0.35">
      <c r="A2423" s="2" t="str">
        <f t="shared" si="380"/>
        <v>SAWYER</v>
      </c>
      <c r="B2423" s="2" t="str">
        <f t="shared" si="381"/>
        <v>SAWYER COUNTY</v>
      </c>
      <c r="C2423" s="2" t="s">
        <v>1415</v>
      </c>
      <c r="D2423" s="2" t="str">
        <f>CLEAN("8783-00-00")</f>
        <v>8783-00-00</v>
      </c>
      <c r="E2423" s="3" t="str">
        <f>CLEAN("EXELAND - STH 70")</f>
        <v>EXELAND - STH 70</v>
      </c>
      <c r="F2423" s="3" t="str">
        <f>CLEAN("COUDERAY RIVER BRIDGE B-57-0023")</f>
        <v>COUDERAY RIVER BRIDGE B-57-0023</v>
      </c>
      <c r="G2423" s="3" t="str">
        <f>CLEAN("DESIGN - FULL PS&amp;E BRRHB")</f>
        <v>DESIGN - FULL PS&amp;E BRRHB</v>
      </c>
      <c r="H2423" s="2" t="str">
        <f>CLEAN("CTH C")</f>
        <v>CTH C</v>
      </c>
      <c r="I2423" s="2" t="str">
        <f>CLEAN("205")</f>
        <v>205</v>
      </c>
    </row>
    <row r="2424" spans="1:9" x14ac:dyDescent="0.35">
      <c r="A2424" s="2" t="str">
        <f t="shared" si="380"/>
        <v>SAWYER</v>
      </c>
      <c r="B2424" s="2" t="str">
        <f t="shared" si="381"/>
        <v>SAWYER COUNTY</v>
      </c>
      <c r="C2424" s="2" t="s">
        <v>1223</v>
      </c>
      <c r="D2424" s="2" t="str">
        <f>CLEAN("8783-00-70")</f>
        <v>8783-00-70</v>
      </c>
      <c r="E2424" s="3" t="str">
        <f>CLEAN("EXELAND - STH 70")</f>
        <v>EXELAND - STH 70</v>
      </c>
      <c r="F2424" s="3" t="str">
        <f>CLEAN("COUDERAY RIVER BRIDGE B-57-0023")</f>
        <v>COUDERAY RIVER BRIDGE B-57-0023</v>
      </c>
      <c r="G2424" s="3" t="str">
        <f>CLEAN("CONSTRUCTION/BRRHB/DECK REPLACEMENT")</f>
        <v>CONSTRUCTION/BRRHB/DECK REPLACEMENT</v>
      </c>
      <c r="H2424" s="2" t="str">
        <f>CLEAN("CTH C")</f>
        <v>CTH C</v>
      </c>
      <c r="I2424" s="2" t="str">
        <f>CLEAN("205")</f>
        <v>205</v>
      </c>
    </row>
    <row r="2425" spans="1:9" x14ac:dyDescent="0.35">
      <c r="A2425" s="2" t="str">
        <f t="shared" ref="A2425:A2431" si="382">CLEAN("SHAWANO")</f>
        <v>SHAWANO</v>
      </c>
      <c r="B2425" s="2" t="str">
        <f t="shared" ref="B2425:B2431" si="383">CLEAN("SHAWANO COUNTY")</f>
        <v>SHAWANO COUNTY</v>
      </c>
      <c r="C2425" s="2" t="s">
        <v>1980</v>
      </c>
      <c r="D2425" s="2" t="str">
        <f>CLEAN("6125-02-01")</f>
        <v>6125-02-01</v>
      </c>
      <c r="E2425" s="3" t="str">
        <f>CLEAN("STH 29 - CTH J")</f>
        <v>STH 29 - CTH J</v>
      </c>
      <c r="F2425" s="3" t="str">
        <f>CLEAN("N BR EMBARRASS RIVER BR B-58-0304")</f>
        <v>N BR EMBARRASS RIVER BR B-58-0304</v>
      </c>
      <c r="G2425" s="3" t="str">
        <f>CLEAN("DESIGN/FULL PSE/REPLACEMENT")</f>
        <v>DESIGN/FULL PSE/REPLACEMENT</v>
      </c>
      <c r="H2425" s="2" t="str">
        <f>CLEAN("CTH D")</f>
        <v>CTH D</v>
      </c>
      <c r="I2425" s="2" t="str">
        <f>CLEAN("205")</f>
        <v>205</v>
      </c>
    </row>
    <row r="2426" spans="1:9" x14ac:dyDescent="0.35">
      <c r="A2426" s="2" t="str">
        <f t="shared" si="382"/>
        <v>SHAWANO</v>
      </c>
      <c r="B2426" s="2" t="str">
        <f t="shared" si="383"/>
        <v>SHAWANO COUNTY</v>
      </c>
      <c r="C2426" s="2" t="s">
        <v>2524</v>
      </c>
      <c r="D2426" s="2" t="str">
        <f>CLEAN("1009-44-58")</f>
        <v>1009-44-58</v>
      </c>
      <c r="E2426" s="3" t="str">
        <f>CLEAN("T RICHMOND  MOUNTAIN BAY TRAIL")</f>
        <v>T RICHMOND  MOUNTAIN BAY TRAIL</v>
      </c>
      <c r="F2426" s="3" t="str">
        <f>CLEAN("MAPLE AVENUE TO CTH M")</f>
        <v>MAPLE AVENUE TO CTH M</v>
      </c>
      <c r="G2426" s="3" t="str">
        <f>CLEAN("FEASIBILITY STUDY")</f>
        <v>FEASIBILITY STUDY</v>
      </c>
      <c r="H2426" s="2" t="str">
        <f>CLEAN("NON HWY")</f>
        <v>NON HWY</v>
      </c>
      <c r="I2426" s="2" t="str">
        <f>CLEAN("290")</f>
        <v>290</v>
      </c>
    </row>
    <row r="2427" spans="1:9" x14ac:dyDescent="0.35">
      <c r="A2427" s="2" t="str">
        <f t="shared" si="382"/>
        <v>SHAWANO</v>
      </c>
      <c r="B2427" s="2" t="str">
        <f t="shared" si="383"/>
        <v>SHAWANO COUNTY</v>
      </c>
      <c r="C2427" s="2" t="s">
        <v>909</v>
      </c>
      <c r="D2427" s="2" t="str">
        <f>CLEAN("6125-02-71")</f>
        <v>6125-02-71</v>
      </c>
      <c r="E2427" s="3" t="str">
        <f>CLEAN("STH 29 - CTH J")</f>
        <v>STH 29 - CTH J</v>
      </c>
      <c r="F2427" s="3" t="str">
        <f>CLEAN("N BR EMBARRASS RIVER BR B-58-0139")</f>
        <v>N BR EMBARRASS RIVER BR B-58-0139</v>
      </c>
      <c r="G2427" s="3" t="str">
        <f>CLEAN("CONST/REPLACEMENT")</f>
        <v>CONST/REPLACEMENT</v>
      </c>
      <c r="H2427" s="2" t="str">
        <f>CLEAN("CTH D")</f>
        <v>CTH D</v>
      </c>
      <c r="I2427" s="2" t="str">
        <f>CLEAN("205")</f>
        <v>205</v>
      </c>
    </row>
    <row r="2428" spans="1:9" x14ac:dyDescent="0.35">
      <c r="A2428" s="2" t="str">
        <f t="shared" si="382"/>
        <v>SHAWANO</v>
      </c>
      <c r="B2428" s="2" t="str">
        <f t="shared" si="383"/>
        <v>SHAWANO COUNTY</v>
      </c>
      <c r="C2428" s="2" t="s">
        <v>1939</v>
      </c>
      <c r="D2428" s="2" t="str">
        <f>CLEAN("9295-00-00")</f>
        <v>9295-00-00</v>
      </c>
      <c r="E2428" s="3" t="str">
        <f>CLEAN("SHAWANO - STH 29")</f>
        <v>SHAWANO - STH 29</v>
      </c>
      <c r="F2428" s="3" t="str">
        <f>CLEAN("STH 22 TO WHITNEE WAY")</f>
        <v>STH 22 TO WHITNEE WAY</v>
      </c>
      <c r="G2428" s="3" t="str">
        <f>CLEAN("DESIGN/FULL PSE/RECONSTRUCT")</f>
        <v>DESIGN/FULL PSE/RECONSTRUCT</v>
      </c>
      <c r="H2428" s="2" t="str">
        <f>CLEAN("CTH BE")</f>
        <v>CTH BE</v>
      </c>
      <c r="I2428" s="2" t="str">
        <f>CLEAN("206")</f>
        <v>206</v>
      </c>
    </row>
    <row r="2429" spans="1:9" x14ac:dyDescent="0.35">
      <c r="A2429" s="2" t="str">
        <f t="shared" si="382"/>
        <v>SHAWANO</v>
      </c>
      <c r="B2429" s="2" t="str">
        <f t="shared" si="383"/>
        <v>SHAWANO COUNTY</v>
      </c>
      <c r="C2429" s="2" t="s">
        <v>780</v>
      </c>
      <c r="D2429" s="2" t="str">
        <f>CLEAN("9295-00-70")</f>
        <v>9295-00-70</v>
      </c>
      <c r="E2429" s="3" t="str">
        <f>CLEAN("SHAWANO - STH 29")</f>
        <v>SHAWANO - STH 29</v>
      </c>
      <c r="F2429" s="3" t="str">
        <f>CLEAN("STH 22 TO WHITNEE WAY")</f>
        <v>STH 22 TO WHITNEE WAY</v>
      </c>
      <c r="G2429" s="3" t="str">
        <f>CLEAN("CONST/RECONSTRUCT")</f>
        <v>CONST/RECONSTRUCT</v>
      </c>
      <c r="H2429" s="2" t="str">
        <f>CLEAN("CTH BE")</f>
        <v>CTH BE</v>
      </c>
      <c r="I2429" s="2" t="str">
        <f>CLEAN("206")</f>
        <v>206</v>
      </c>
    </row>
    <row r="2430" spans="1:9" x14ac:dyDescent="0.35">
      <c r="A2430" s="2" t="str">
        <f t="shared" si="382"/>
        <v>SHAWANO</v>
      </c>
      <c r="B2430" s="2" t="str">
        <f t="shared" si="383"/>
        <v>SHAWANO COUNTY</v>
      </c>
      <c r="C2430" s="2" t="s">
        <v>1977</v>
      </c>
      <c r="D2430" s="2" t="str">
        <f>CLEAN("9394-00-00")</f>
        <v>9394-00-00</v>
      </c>
      <c r="E2430" s="3" t="str">
        <f>CLEAN("STH 29 - CTH D")</f>
        <v>STH 29 - CTH D</v>
      </c>
      <c r="F2430" s="3" t="str">
        <f>CLEAN("MIDDLE BR EMBARRASS RVR BR B-58-706")</f>
        <v>MIDDLE BR EMBARRASS RVR BR B-58-706</v>
      </c>
      <c r="G2430" s="3" t="str">
        <f>CLEAN("DESIGN/FULL PSE/REPLACEMENT")</f>
        <v>DESIGN/FULL PSE/REPLACEMENT</v>
      </c>
      <c r="H2430" s="2" t="str">
        <f>CLEAN("CTH Q")</f>
        <v>CTH Q</v>
      </c>
      <c r="I2430" s="2" t="str">
        <f>CLEAN("205")</f>
        <v>205</v>
      </c>
    </row>
    <row r="2431" spans="1:9" x14ac:dyDescent="0.35">
      <c r="A2431" s="2" t="str">
        <f t="shared" si="382"/>
        <v>SHAWANO</v>
      </c>
      <c r="B2431" s="2" t="str">
        <f t="shared" si="383"/>
        <v>SHAWANO COUNTY</v>
      </c>
      <c r="C2431" s="2" t="s">
        <v>907</v>
      </c>
      <c r="D2431" s="2" t="str">
        <f>CLEAN("9394-00-70")</f>
        <v>9394-00-70</v>
      </c>
      <c r="E2431" s="3" t="str">
        <f>CLEAN("STH 29 - CTH D")</f>
        <v>STH 29 - CTH D</v>
      </c>
      <c r="F2431" s="3" t="str">
        <f>CLEAN("MIDDLE BR EMBARRASS RVR BR B-58-140")</f>
        <v>MIDDLE BR EMBARRASS RVR BR B-58-140</v>
      </c>
      <c r="G2431" s="3" t="str">
        <f>CLEAN("CONST/REPLACEMENT")</f>
        <v>CONST/REPLACEMENT</v>
      </c>
      <c r="H2431" s="2" t="str">
        <f>CLEAN("CTH Q")</f>
        <v>CTH Q</v>
      </c>
      <c r="I2431" s="2" t="str">
        <f>CLEAN("205")</f>
        <v>205</v>
      </c>
    </row>
    <row r="2432" spans="1:9" x14ac:dyDescent="0.35">
      <c r="A2432" s="2" t="str">
        <f t="shared" ref="A2432:A2441" si="384">CLEAN("SHEBOYGAN")</f>
        <v>SHEBOYGAN</v>
      </c>
      <c r="B2432" s="2" t="str">
        <f t="shared" ref="B2432:B2441" si="385">CLEAN("SHEBOYGAN COUNTY")</f>
        <v>SHEBOYGAN COUNTY</v>
      </c>
      <c r="C2432" s="2" t="s">
        <v>2600</v>
      </c>
      <c r="D2432" s="2" t="str">
        <f>CLEAN("4995-03-01")</f>
        <v>4995-03-01</v>
      </c>
      <c r="E2432" s="3" t="str">
        <f>CLEAN("CITY OF PLYMOUTH")</f>
        <v>CITY OF PLYMOUTH</v>
      </c>
      <c r="F2432" s="3" t="str">
        <f>CLEAN("SIDEWALK GAP IMPROVEMENT")</f>
        <v>SIDEWALK GAP IMPROVEMENT</v>
      </c>
      <c r="G2432" s="3" t="str">
        <f>CLEAN("NTPP")</f>
        <v>NTPP</v>
      </c>
      <c r="H2432" s="2" t="str">
        <f>CLEAN("VAR HWY")</f>
        <v>VAR HWY</v>
      </c>
      <c r="I2432" s="2" t="str">
        <f>CLEAN("290")</f>
        <v>290</v>
      </c>
    </row>
    <row r="2433" spans="1:9" x14ac:dyDescent="0.35">
      <c r="A2433" s="2" t="str">
        <f t="shared" si="384"/>
        <v>SHEBOYGAN</v>
      </c>
      <c r="B2433" s="2" t="str">
        <f t="shared" si="385"/>
        <v>SHEBOYGAN COUNTY</v>
      </c>
      <c r="C2433" s="2" t="s">
        <v>347</v>
      </c>
      <c r="D2433" s="2" t="str">
        <f>CLEAN("4995-03-02")</f>
        <v>4995-03-02</v>
      </c>
      <c r="E2433" s="3" t="str">
        <f>CLEAN("CITY OF PLYMOUTH")</f>
        <v>CITY OF PLYMOUTH</v>
      </c>
      <c r="F2433" s="3" t="str">
        <f>CLEAN("SIDEWALK GAP IMPROVEMENTS")</f>
        <v>SIDEWALK GAP IMPROVEMENTS</v>
      </c>
      <c r="G2433" s="3" t="str">
        <f>CLEAN("CONST/ MISC-SIDEWALK IMPROV NMTPP")</f>
        <v>CONST/ MISC-SIDEWALK IMPROV NMTPP</v>
      </c>
      <c r="H2433" s="2" t="str">
        <f>CLEAN("CTH E")</f>
        <v>CTH E</v>
      </c>
      <c r="I2433" s="2" t="str">
        <f>CLEAN("290")</f>
        <v>290</v>
      </c>
    </row>
    <row r="2434" spans="1:9" x14ac:dyDescent="0.35">
      <c r="A2434" s="2" t="str">
        <f t="shared" si="384"/>
        <v>SHEBOYGAN</v>
      </c>
      <c r="B2434" s="2" t="str">
        <f t="shared" si="385"/>
        <v>SHEBOYGAN COUNTY</v>
      </c>
      <c r="C2434" s="2" t="s">
        <v>2363</v>
      </c>
      <c r="D2434" s="2" t="str">
        <f>CLEAN("4204-10-00")</f>
        <v>4204-10-00</v>
      </c>
      <c r="E2434" s="3" t="str">
        <f>CLEAN("T PLYMOUTH  RIVER HEIGHTS DRIVE")</f>
        <v>T PLYMOUTH  RIVER HEIGHTS DRIVE</v>
      </c>
      <c r="F2434" s="3" t="str">
        <f>CLEAN("MULLET RIVER BRIDGE")</f>
        <v>MULLET RIVER BRIDGE</v>
      </c>
      <c r="G2434" s="3" t="str">
        <f>CLEAN("DSGN/FULL PSE/BRRPL B-59-0120")</f>
        <v>DSGN/FULL PSE/BRRPL B-59-0120</v>
      </c>
      <c r="H2434" s="2" t="str">
        <f>CLEAN("LOC STR")</f>
        <v>LOC STR</v>
      </c>
      <c r="I2434" s="2" t="str">
        <f>CLEAN("205")</f>
        <v>205</v>
      </c>
    </row>
    <row r="2435" spans="1:9" x14ac:dyDescent="0.35">
      <c r="A2435" s="2" t="str">
        <f t="shared" si="384"/>
        <v>SHEBOYGAN</v>
      </c>
      <c r="B2435" s="2" t="str">
        <f t="shared" si="385"/>
        <v>SHEBOYGAN COUNTY</v>
      </c>
      <c r="C2435" s="2" t="s">
        <v>154</v>
      </c>
      <c r="D2435" s="2" t="str">
        <f>CLEAN("4204-10-70")</f>
        <v>4204-10-70</v>
      </c>
      <c r="E2435" s="3" t="str">
        <f>CLEAN("T PLYMOUTH  RIVER HEIGHTS DRIVE")</f>
        <v>T PLYMOUTH  RIVER HEIGHTS DRIVE</v>
      </c>
      <c r="F2435" s="3" t="str">
        <f>CLEAN("MULLET RIVER BRIDGE")</f>
        <v>MULLET RIVER BRIDGE</v>
      </c>
      <c r="G2435" s="3" t="str">
        <f>CLEAN("CONST OPS/BRRPL B590206")</f>
        <v>CONST OPS/BRRPL B590206</v>
      </c>
      <c r="H2435" s="2" t="str">
        <f>CLEAN("LOC STR")</f>
        <v>LOC STR</v>
      </c>
      <c r="I2435" s="2" t="str">
        <f>CLEAN("205")</f>
        <v>205</v>
      </c>
    </row>
    <row r="2436" spans="1:9" x14ac:dyDescent="0.35">
      <c r="A2436" s="2" t="str">
        <f t="shared" si="384"/>
        <v>SHEBOYGAN</v>
      </c>
      <c r="B2436" s="2" t="str">
        <f t="shared" si="385"/>
        <v>SHEBOYGAN COUNTY</v>
      </c>
      <c r="C2436" s="2" t="s">
        <v>2378</v>
      </c>
      <c r="D2436" s="2" t="str">
        <f>CLEAN("4208-06-00")</f>
        <v>4208-06-00</v>
      </c>
      <c r="E2436" s="3" t="str">
        <f>CLEAN("T GREENBUSH  CENTER STREET")</f>
        <v>T GREENBUSH  CENTER STREET</v>
      </c>
      <c r="F2436" s="3" t="str">
        <f>CLEAN("MULLET RIVER BRIDGE")</f>
        <v>MULLET RIVER BRIDGE</v>
      </c>
      <c r="G2436" s="3" t="str">
        <f>CLEAN("DSGN/FULL PSE/BRRPL/P590918")</f>
        <v>DSGN/FULL PSE/BRRPL/P590918</v>
      </c>
      <c r="H2436" s="2" t="str">
        <f>CLEAN("LOC STR")</f>
        <v>LOC STR</v>
      </c>
      <c r="I2436" s="2" t="str">
        <f>CLEAN("205")</f>
        <v>205</v>
      </c>
    </row>
    <row r="2437" spans="1:9" x14ac:dyDescent="0.35">
      <c r="A2437" s="2" t="str">
        <f t="shared" si="384"/>
        <v>SHEBOYGAN</v>
      </c>
      <c r="B2437" s="2" t="str">
        <f t="shared" si="385"/>
        <v>SHEBOYGAN COUNTY</v>
      </c>
      <c r="C2437" s="2" t="s">
        <v>273</v>
      </c>
      <c r="D2437" s="2" t="str">
        <f>CLEAN("4232-00-71")</f>
        <v>4232-00-71</v>
      </c>
      <c r="E2437" s="3" t="str">
        <f>CLEAN("C SHEBOYGAN  WEEDEN CREEK ROAD")</f>
        <v>C SHEBOYGAN  WEEDEN CREEK ROAD</v>
      </c>
      <c r="F2437" s="3" t="str">
        <f>CLEAN("CTH OK TO S 12TH STREET")</f>
        <v>CTH OK TO S 12TH STREET</v>
      </c>
      <c r="G2437" s="3" t="str">
        <f>CLEAN("CONST OPS/RECST")</f>
        <v>CONST OPS/RECST</v>
      </c>
      <c r="H2437" s="2" t="str">
        <f>CLEAN("CTH EE")</f>
        <v>CTH EE</v>
      </c>
      <c r="I2437" s="2" t="str">
        <f>CLEAN("206")</f>
        <v>206</v>
      </c>
    </row>
    <row r="2438" spans="1:9" x14ac:dyDescent="0.35">
      <c r="A2438" s="2" t="str">
        <f t="shared" si="384"/>
        <v>SHEBOYGAN</v>
      </c>
      <c r="B2438" s="2" t="str">
        <f t="shared" si="385"/>
        <v>SHEBOYGAN COUNTY</v>
      </c>
      <c r="C2438" s="2" t="s">
        <v>2484</v>
      </c>
      <c r="D2438" s="2" t="str">
        <f>CLEAN("4249-09-00")</f>
        <v>4249-09-00</v>
      </c>
      <c r="E2438" s="3" t="str">
        <f>CLEAN("PLYMOUTH - SHEBOYGAN FALLS")</f>
        <v>PLYMOUTH - SHEBOYGAN FALLS</v>
      </c>
      <c r="F2438" s="3" t="str">
        <f>CLEAN("STH 57 TO CTH M")</f>
        <v>STH 57 TO CTH M</v>
      </c>
      <c r="G2438" s="3" t="str">
        <f>CLEAN("DSN/FULL PSE/RECST")</f>
        <v>DSN/FULL PSE/RECST</v>
      </c>
      <c r="H2438" s="2" t="str">
        <f>CLEAN("CTH J")</f>
        <v>CTH J</v>
      </c>
      <c r="I2438" s="2" t="str">
        <f>CLEAN("206")</f>
        <v>206</v>
      </c>
    </row>
    <row r="2439" spans="1:9" x14ac:dyDescent="0.35">
      <c r="A2439" s="2" t="str">
        <f t="shared" si="384"/>
        <v>SHEBOYGAN</v>
      </c>
      <c r="B2439" s="2" t="str">
        <f t="shared" si="385"/>
        <v>SHEBOYGAN COUNTY</v>
      </c>
      <c r="C2439" s="2" t="s">
        <v>2449</v>
      </c>
      <c r="D2439" s="2" t="str">
        <f>CLEAN("4273-00-00")</f>
        <v>4273-00-00</v>
      </c>
      <c r="E2439" s="3" t="str">
        <f>CLEAN("LIMA - SHEBOYGAN FALLS")</f>
        <v>LIMA - SHEBOYGAN FALLS</v>
      </c>
      <c r="F2439" s="3" t="str">
        <f>CLEAN("ONION RIVER BRIDGE P590069")</f>
        <v>ONION RIVER BRIDGE P590069</v>
      </c>
      <c r="G2439" s="3" t="str">
        <f>CLEAN("DSN/FULL PSE/BRRPL")</f>
        <v>DSN/FULL PSE/BRRPL</v>
      </c>
      <c r="H2439" s="2" t="str">
        <f>CLEAN("CTH OO")</f>
        <v>CTH OO</v>
      </c>
      <c r="I2439" s="2" t="str">
        <f>CLEAN("205")</f>
        <v>205</v>
      </c>
    </row>
    <row r="2440" spans="1:9" x14ac:dyDescent="0.35">
      <c r="A2440" s="2" t="str">
        <f t="shared" si="384"/>
        <v>SHEBOYGAN</v>
      </c>
      <c r="B2440" s="2" t="str">
        <f t="shared" si="385"/>
        <v>SHEBOYGAN COUNTY</v>
      </c>
      <c r="C2440" s="2" t="s">
        <v>172</v>
      </c>
      <c r="D2440" s="2" t="str">
        <f>CLEAN("4273-00-71")</f>
        <v>4273-00-71</v>
      </c>
      <c r="E2440" s="3" t="str">
        <f>CLEAN("LIMA - SHEBOYGAN FALLS")</f>
        <v>LIMA - SHEBOYGAN FALLS</v>
      </c>
      <c r="F2440" s="3" t="str">
        <f>CLEAN("ONION RIVER BRIDGE")</f>
        <v>ONION RIVER BRIDGE</v>
      </c>
      <c r="G2440" s="3" t="str">
        <f>CLEAN("CONST OPS/BRRPL/B590330")</f>
        <v>CONST OPS/BRRPL/B590330</v>
      </c>
      <c r="H2440" s="2" t="str">
        <f>CLEAN("CTH OO")</f>
        <v>CTH OO</v>
      </c>
      <c r="I2440" s="2" t="str">
        <f>CLEAN("205")</f>
        <v>205</v>
      </c>
    </row>
    <row r="2441" spans="1:9" x14ac:dyDescent="0.35">
      <c r="A2441" s="2" t="str">
        <f t="shared" si="384"/>
        <v>SHEBOYGAN</v>
      </c>
      <c r="B2441" s="2" t="str">
        <f t="shared" si="385"/>
        <v>SHEBOYGAN COUNTY</v>
      </c>
      <c r="C2441" s="2" t="s">
        <v>287</v>
      </c>
      <c r="D2441" s="2" t="str">
        <f>CLEAN("4291-03-70")</f>
        <v>4291-03-70</v>
      </c>
      <c r="E2441" s="3" t="str">
        <f>CLEAN("SHEBOYGAN CO  CTH TA")</f>
        <v>SHEBOYGAN CO  CTH TA</v>
      </c>
      <c r="F2441" s="3" t="str">
        <f>CLEAN("UNION AVENUE TO ERIE AVENUE")</f>
        <v>UNION AVENUE TO ERIE AVENUE</v>
      </c>
      <c r="G2441" s="3" t="str">
        <f>CLEAN("CONST OPS/RECST")</f>
        <v>CONST OPS/RECST</v>
      </c>
      <c r="H2441" s="2" t="str">
        <f>CLEAN("CTH TA")</f>
        <v>CTH TA</v>
      </c>
      <c r="I2441" s="2" t="str">
        <f>CLEAN("206")</f>
        <v>206</v>
      </c>
    </row>
    <row r="2442" spans="1:9" x14ac:dyDescent="0.35">
      <c r="A2442" s="2" t="str">
        <f>CLEAN("MILWAUKEE")</f>
        <v>MILWAUKEE</v>
      </c>
      <c r="B2442" s="2" t="str">
        <f>CLEAN("SOUTHEASTERN WIS REGIONAL PLANNING COMM")</f>
        <v>SOUTHEASTERN WIS REGIONAL PLANNING COMM</v>
      </c>
      <c r="C2442" s="2" t="s">
        <v>1</v>
      </c>
      <c r="D2442" s="2" t="str">
        <f>CLEAN("1000-07-05")</f>
        <v>1000-07-05</v>
      </c>
      <c r="E2442" s="3" t="str">
        <f>CLEAN("SEWRPC SUPPORT")</f>
        <v>SEWRPC SUPPORT</v>
      </c>
      <c r="F2442" s="3" t="str">
        <f>CLEAN("2022 ORTHOPHOTOGRAPHIC MAPPING")</f>
        <v>2022 ORTHOPHOTOGRAPHIC MAPPING</v>
      </c>
      <c r="G2442" s="3" t="str">
        <f>CLEAN("--")</f>
        <v>--</v>
      </c>
      <c r="H2442" s="2" t="str">
        <f>CLEAN("NON HWY")</f>
        <v>NON HWY</v>
      </c>
      <c r="I2442" s="2" t="str">
        <f>CLEAN("206")</f>
        <v>206</v>
      </c>
    </row>
    <row r="2443" spans="1:9" x14ac:dyDescent="0.35">
      <c r="A2443" s="2" t="str">
        <f>CLEAN("MILWAUKEE")</f>
        <v>MILWAUKEE</v>
      </c>
      <c r="B2443" s="2" t="str">
        <f>CLEAN("SOUTHEASTERN WIS REGIONAL PLANNING COMM")</f>
        <v>SOUTHEASTERN WIS REGIONAL PLANNING COMM</v>
      </c>
      <c r="C2443" s="2" t="s">
        <v>2590</v>
      </c>
      <c r="D2443" s="2" t="str">
        <f>CLEAN("1000-07-10")</f>
        <v>1000-07-10</v>
      </c>
      <c r="E2443" s="3" t="str">
        <f>CLEAN("SEWRPC SUPPORT")</f>
        <v>SEWRPC SUPPORT</v>
      </c>
      <c r="F2443" s="3" t="str">
        <f>CLEAN("2026 ORTHOPHOTGRAPHIC MAPPING")</f>
        <v>2026 ORTHOPHOTGRAPHIC MAPPING</v>
      </c>
      <c r="G2443" s="3" t="str">
        <f>CLEAN("MISC/ORTHOPHOTO MAPPING")</f>
        <v>MISC/ORTHOPHOTO MAPPING</v>
      </c>
      <c r="H2443" s="2" t="str">
        <f>CLEAN("NON HWY")</f>
        <v>NON HWY</v>
      </c>
      <c r="I2443" s="2" t="str">
        <f>CLEAN("206")</f>
        <v>206</v>
      </c>
    </row>
    <row r="2444" spans="1:9" x14ac:dyDescent="0.35">
      <c r="A2444" s="2" t="str">
        <f>CLEAN("SOUTHEAST REGION WIDE")</f>
        <v>SOUTHEAST REGION WIDE</v>
      </c>
      <c r="B2444" s="2" t="str">
        <f>CLEAN("SOUTHEASTERN WIS REGIONAL PLANNING COMM")</f>
        <v>SOUTHEASTERN WIS REGIONAL PLANNING COMM</v>
      </c>
      <c r="C2444" s="2" t="s">
        <v>2601</v>
      </c>
      <c r="D2444" s="2" t="str">
        <f>CLEAN("1000-50-90")</f>
        <v>1000-50-90</v>
      </c>
      <c r="E2444" s="3" t="str">
        <f>CLEAN("TRAVEL DEMAND MANAGEMENT")</f>
        <v>TRAVEL DEMAND MANAGEMENT</v>
      </c>
      <c r="F2444" s="3" t="str">
        <f>CLEAN("REGION WIDE  FY 27")</f>
        <v>REGION WIDE  FY 27</v>
      </c>
      <c r="G2444" s="3" t="str">
        <f>CLEAN("P&amp;A/MISC")</f>
        <v>P&amp;A/MISC</v>
      </c>
      <c r="H2444" s="2" t="str">
        <f>CLEAN("NON HWY")</f>
        <v>NON HWY</v>
      </c>
      <c r="I2444" s="2" t="str">
        <f>CLEAN("211")</f>
        <v>211</v>
      </c>
    </row>
    <row r="2445" spans="1:9" x14ac:dyDescent="0.35">
      <c r="A2445" s="2" t="str">
        <f>CLEAN("STATEWIDE")</f>
        <v>STATEWIDE</v>
      </c>
      <c r="B2445" s="2" t="str">
        <f>CLEAN("ST NORBERT COLLEGE")</f>
        <v>ST NORBERT COLLEGE</v>
      </c>
      <c r="C2445" s="2" t="s">
        <v>1379</v>
      </c>
      <c r="D2445" s="2" t="str">
        <f>CLEAN("1000-20-78")</f>
        <v>1000-20-78</v>
      </c>
      <c r="E2445" s="3" t="str">
        <f>CLEAN("STATEWIDE TYPE 1 SIGN REPLACEMENT")</f>
        <v>STATEWIDE TYPE 1 SIGN REPLACEMENT</v>
      </c>
      <c r="F2445" s="3" t="str">
        <f>CLEAN("LOCATIONS ON STN PER ANNUAL PLAN")</f>
        <v>LOCATIONS ON STN PER ANNUAL PLAN</v>
      </c>
      <c r="G2445" s="3" t="str">
        <f>CLEAN("CONSTRUCTION/SIGN REPLACEMENTS")</f>
        <v>CONSTRUCTION/SIGN REPLACEMENTS</v>
      </c>
      <c r="H2445" s="2" t="str">
        <f>CLEAN("VAR HWY")</f>
        <v>VAR HWY</v>
      </c>
      <c r="I2445" s="2" t="str">
        <f>CLEAN("305")</f>
        <v>305</v>
      </c>
    </row>
    <row r="2446" spans="1:9" x14ac:dyDescent="0.35">
      <c r="A2446" s="2" t="str">
        <f>CLEAN("CRAWFORD")</f>
        <v>CRAWFORD</v>
      </c>
      <c r="B2446" s="2" t="str">
        <f>CLEAN("ST OF IOWA DOT")</f>
        <v>ST OF IOWA DOT</v>
      </c>
      <c r="C2446" s="2" t="s">
        <v>1862</v>
      </c>
      <c r="D2446" s="2" t="str">
        <f>CLEAN("1660-03-37")</f>
        <v>1660-03-37</v>
      </c>
      <c r="E2446" s="3" t="str">
        <f>CLEAN("MARQUETTE - PRAIRIE DU CHIEN")</f>
        <v>MARQUETTE - PRAIRIE DU CHIEN</v>
      </c>
      <c r="F2446" s="3" t="str">
        <f>CLEAN("MISSISSIPPI RVR STRUCTURE B-12-27")</f>
        <v>MISSISSIPPI RVR STRUCTURE B-12-27</v>
      </c>
      <c r="G2446" s="3" t="str">
        <f>CLEAN("DESIGN/DECK REHAB PAINTING REPAIRS")</f>
        <v>DESIGN/DECK REHAB PAINTING REPAIRS</v>
      </c>
      <c r="H2446" s="2" t="str">
        <f>CLEAN("USH 018")</f>
        <v>USH 018</v>
      </c>
      <c r="I2446" s="2" t="str">
        <f>CLEAN("303")</f>
        <v>303</v>
      </c>
    </row>
    <row r="2447" spans="1:9" x14ac:dyDescent="0.35">
      <c r="A2447" s="2" t="str">
        <f>CLEAN("CRAWFORD")</f>
        <v>CRAWFORD</v>
      </c>
      <c r="B2447" s="2" t="str">
        <f>CLEAN("ST OF IOWA DOT")</f>
        <v>ST OF IOWA DOT</v>
      </c>
      <c r="C2447" s="2" t="s">
        <v>546</v>
      </c>
      <c r="D2447" s="2" t="str">
        <f>CLEAN("1660-03-67")</f>
        <v>1660-03-67</v>
      </c>
      <c r="E2447" s="3" t="str">
        <f>CLEAN("MARQUETTE - PRAIRIE DU CHIEN")</f>
        <v>MARQUETTE - PRAIRIE DU CHIEN</v>
      </c>
      <c r="F2447" s="3" t="str">
        <f>CLEAN("MISSISSIPPI RIVER STRUCT B-12-27")</f>
        <v>MISSISSIPPI RIVER STRUCT B-12-27</v>
      </c>
      <c r="G2447" s="3" t="str">
        <f>CLEAN("CONST/DECK REHAB PAINTING REPAIRS")</f>
        <v>CONST/DECK REHAB PAINTING REPAIRS</v>
      </c>
      <c r="H2447" s="2" t="str">
        <f>CLEAN("USH 018")</f>
        <v>USH 018</v>
      </c>
      <c r="I2447" s="2" t="str">
        <f>CLEAN("303")</f>
        <v>303</v>
      </c>
    </row>
    <row r="2448" spans="1:9" x14ac:dyDescent="0.35">
      <c r="A2448" s="2" t="str">
        <f>CLEAN("CRAWFORD")</f>
        <v>CRAWFORD</v>
      </c>
      <c r="B2448" s="2" t="str">
        <f>CLEAN("ST OF IOWA DOT")</f>
        <v>ST OF IOWA DOT</v>
      </c>
      <c r="C2448" s="2" t="s">
        <v>548</v>
      </c>
      <c r="D2448" s="2" t="str">
        <f>CLEAN("5170-16-82")</f>
        <v>5170-16-82</v>
      </c>
      <c r="E2448" s="3" t="str">
        <f>CLEAN("LANSING BRIDGE")</f>
        <v>LANSING BRIDGE</v>
      </c>
      <c r="F2448" s="3" t="str">
        <f>CLEAN("B-12-0252 AT IA/ WI STATE LINE")</f>
        <v>B-12-0252 AT IA/ WI STATE LINE</v>
      </c>
      <c r="G2448" s="3" t="str">
        <f>CLEAN("CONST/ER TRANSIT SERVICE WI SIDE")</f>
        <v>CONST/ER TRANSIT SERVICE WI SIDE</v>
      </c>
      <c r="H2448" s="2" t="str">
        <f>CLEAN("STH 082")</f>
        <v>STH 082</v>
      </c>
      <c r="I2448" s="2" t="str">
        <f>CLEAN("303")</f>
        <v>303</v>
      </c>
    </row>
    <row r="2449" spans="1:9" x14ac:dyDescent="0.35">
      <c r="A2449" s="2" t="str">
        <f>CLEAN("BURNETT")</f>
        <v>BURNETT</v>
      </c>
      <c r="B2449" s="2" t="str">
        <f t="shared" ref="B2449:B2488" si="386">CLEAN("ST OF MINNESOTA DOT")</f>
        <v>ST OF MINNESOTA DOT</v>
      </c>
      <c r="C2449" s="2" t="s">
        <v>1833</v>
      </c>
      <c r="D2449" s="2" t="str">
        <f>CLEAN("8040-01-04")</f>
        <v>8040-01-04</v>
      </c>
      <c r="E2449" s="3" t="str">
        <f>CLEAN("ST CROIX RIVER - GRANTSBURG")</f>
        <v>ST CROIX RIVER - GRANTSBURG</v>
      </c>
      <c r="F2449" s="3" t="str">
        <f>CLEAN("ST CROIX RIVER BRIDGE B-07-0020")</f>
        <v>ST CROIX RIVER BRIDGE B-07-0020</v>
      </c>
      <c r="G2449" s="3" t="str">
        <f>CLEAN("DESIGN/BRRHB/WI LEAD/COST SHARE MN")</f>
        <v>DESIGN/BRRHB/WI LEAD/COST SHARE MN</v>
      </c>
      <c r="H2449" s="2" t="str">
        <f>CLEAN("STH 070")</f>
        <v>STH 070</v>
      </c>
      <c r="I2449" s="2" t="str">
        <f>CLEAN("303")</f>
        <v>303</v>
      </c>
    </row>
    <row r="2450" spans="1:9" x14ac:dyDescent="0.35">
      <c r="A2450" s="2" t="str">
        <f>CLEAN("BURNETT")</f>
        <v>BURNETT</v>
      </c>
      <c r="B2450" s="2" t="str">
        <f t="shared" si="386"/>
        <v>ST OF MINNESOTA DOT</v>
      </c>
      <c r="C2450" s="2" t="s">
        <v>1832</v>
      </c>
      <c r="D2450" s="2" t="str">
        <f>CLEAN("8560-01-03")</f>
        <v>8560-01-03</v>
      </c>
      <c r="E2450" s="3" t="str">
        <f>CLEAN("ST CROIX RIVER - DANBURY")</f>
        <v>ST CROIX RIVER - DANBURY</v>
      </c>
      <c r="F2450" s="3" t="str">
        <f>CLEAN("ST CROIX RIVER BRIDGE B-07-0006")</f>
        <v>ST CROIX RIVER BRIDGE B-07-0006</v>
      </c>
      <c r="G2450" s="3" t="str">
        <f>CLEAN("DESIGN/BRRHB/WI LEAD/COST SHARE MN")</f>
        <v>DESIGN/BRRHB/WI LEAD/COST SHARE MN</v>
      </c>
      <c r="H2450" s="2" t="str">
        <f>CLEAN("STH 077")</f>
        <v>STH 077</v>
      </c>
      <c r="I2450" s="2" t="str">
        <f>CLEAN("303")</f>
        <v>303</v>
      </c>
    </row>
    <row r="2451" spans="1:9" x14ac:dyDescent="0.35">
      <c r="A2451" s="2" t="str">
        <f t="shared" ref="A2451:A2473" si="387">CLEAN("LA CROSSE")</f>
        <v>LA CROSSE</v>
      </c>
      <c r="B2451" s="2" t="str">
        <f t="shared" si="386"/>
        <v>ST OF MINNESOTA DOT</v>
      </c>
      <c r="C2451" s="2" t="s">
        <v>2497</v>
      </c>
      <c r="D2451" s="2" t="str">
        <f>CLEAN("1000-74-00")</f>
        <v>1000-74-00</v>
      </c>
      <c r="E2451" s="3" t="str">
        <f t="shared" ref="E2451:E2456" si="388">CLEAN("TCMC INTERCITY PASSENGER RAIL GRANT")</f>
        <v>TCMC INTERCITY PASSENGER RAIL GRANT</v>
      </c>
      <c r="F2451" s="3" t="str">
        <f>CLEAN("LA CROSSE-ST. PAUL/MNDOT ID T9AG321")</f>
        <v>LA CROSSE-ST. PAUL/MNDOT ID T9AG321</v>
      </c>
      <c r="G2451" s="3" t="str">
        <f>CLEAN("EX- INFRASTURE IMP FOR 2ND RND TRIP")</f>
        <v>EX- INFRASTURE IMP FOR 2ND RND TRIP</v>
      </c>
      <c r="H2451" s="2" t="str">
        <f t="shared" ref="H2451:H2473" si="389">CLEAN("NON HWY")</f>
        <v>NON HWY</v>
      </c>
      <c r="I2451" s="2" t="str">
        <f t="shared" ref="I2451:I2473" si="390">CLEAN("207")</f>
        <v>207</v>
      </c>
    </row>
    <row r="2452" spans="1:9" x14ac:dyDescent="0.35">
      <c r="A2452" s="2" t="str">
        <f t="shared" si="387"/>
        <v>LA CROSSE</v>
      </c>
      <c r="B2452" s="2" t="str">
        <f t="shared" si="386"/>
        <v>ST OF MINNESOTA DOT</v>
      </c>
      <c r="C2452" s="2" t="s">
        <v>2520</v>
      </c>
      <c r="D2452" s="2" t="str">
        <f>CLEAN("1000-74-20")</f>
        <v>1000-74-20</v>
      </c>
      <c r="E2452" s="3" t="str">
        <f t="shared" si="388"/>
        <v>TCMC INTERCITY PASSENGER RAIL GRANT</v>
      </c>
      <c r="F2452" s="3" t="str">
        <f>CLEAN("LA CROSSE-ST. PAUL/MNDOT ID T9AG322")</f>
        <v>LA CROSSE-ST. PAUL/MNDOT ID T9AG322</v>
      </c>
      <c r="G2452" s="3" t="str">
        <f>CLEAN("EX-INFRASTURE IMP FOR 2ND RND TRIP")</f>
        <v>EX-INFRASTURE IMP FOR 2ND RND TRIP</v>
      </c>
      <c r="H2452" s="2" t="str">
        <f t="shared" si="389"/>
        <v>NON HWY</v>
      </c>
      <c r="I2452" s="2" t="str">
        <f t="shared" si="390"/>
        <v>207</v>
      </c>
    </row>
    <row r="2453" spans="1:9" x14ac:dyDescent="0.35">
      <c r="A2453" s="2" t="str">
        <f t="shared" si="387"/>
        <v>LA CROSSE</v>
      </c>
      <c r="B2453" s="2" t="str">
        <f t="shared" si="386"/>
        <v>ST OF MINNESOTA DOT</v>
      </c>
      <c r="C2453" s="2" t="s">
        <v>2521</v>
      </c>
      <c r="D2453" s="2" t="str">
        <f>CLEAN("1000-74-40")</f>
        <v>1000-74-40</v>
      </c>
      <c r="E2453" s="3" t="str">
        <f t="shared" si="388"/>
        <v>TCMC INTERCITY PASSENGER RAIL GRANT</v>
      </c>
      <c r="F2453" s="3" t="str">
        <f>CLEAN("LA CROSSE-ST. PAUL/MNDOT ID T9AG323")</f>
        <v>LA CROSSE-ST. PAUL/MNDOT ID T9AG323</v>
      </c>
      <c r="G2453" s="3" t="str">
        <f>CLEAN("EX-INFRASTURE IMP FOR 2ND RND TRIP")</f>
        <v>EX-INFRASTURE IMP FOR 2ND RND TRIP</v>
      </c>
      <c r="H2453" s="2" t="str">
        <f t="shared" si="389"/>
        <v>NON HWY</v>
      </c>
      <c r="I2453" s="2" t="str">
        <f t="shared" si="390"/>
        <v>207</v>
      </c>
    </row>
    <row r="2454" spans="1:9" x14ac:dyDescent="0.35">
      <c r="A2454" s="2" t="str">
        <f t="shared" si="387"/>
        <v>LA CROSSE</v>
      </c>
      <c r="B2454" s="2" t="str">
        <f t="shared" si="386"/>
        <v>ST OF MINNESOTA DOT</v>
      </c>
      <c r="C2454" s="2" t="s">
        <v>2498</v>
      </c>
      <c r="D2454" s="2" t="str">
        <f>CLEAN("1000-74-50")</f>
        <v>1000-74-50</v>
      </c>
      <c r="E2454" s="3" t="str">
        <f t="shared" si="388"/>
        <v>TCMC INTERCITY PASSENGER RAIL GRANT</v>
      </c>
      <c r="F2454" s="3" t="str">
        <f>CLEAN("LA CROSSE-ST. PAUL/MNDOT ID T9AG324")</f>
        <v>LA CROSSE-ST. PAUL/MNDOT ID T9AG324</v>
      </c>
      <c r="G2454" s="3" t="str">
        <f>CLEAN("EX- INFRASTURE IMP FOR 2ND RND TRIP")</f>
        <v>EX- INFRASTURE IMP FOR 2ND RND TRIP</v>
      </c>
      <c r="H2454" s="2" t="str">
        <f t="shared" si="389"/>
        <v>NON HWY</v>
      </c>
      <c r="I2454" s="2" t="str">
        <f t="shared" si="390"/>
        <v>207</v>
      </c>
    </row>
    <row r="2455" spans="1:9" x14ac:dyDescent="0.35">
      <c r="A2455" s="2" t="str">
        <f t="shared" si="387"/>
        <v>LA CROSSE</v>
      </c>
      <c r="B2455" s="2" t="str">
        <f t="shared" si="386"/>
        <v>ST OF MINNESOTA DOT</v>
      </c>
      <c r="C2455" s="2" t="s">
        <v>2515</v>
      </c>
      <c r="D2455" s="2" t="str">
        <f>CLEAN("1000-74-53")</f>
        <v>1000-74-53</v>
      </c>
      <c r="E2455" s="3" t="str">
        <f t="shared" si="388"/>
        <v>TCMC INTERCITY PASSENGER RAIL GRANT</v>
      </c>
      <c r="F2455" s="3" t="str">
        <f>CLEAN("LA CROSSE-ST. PAUL/MNDOT ID T9AG325")</f>
        <v>LA CROSSE-ST. PAUL/MNDOT ID T9AG325</v>
      </c>
      <c r="G2455" s="3" t="str">
        <f>CLEAN("EX-INFRASTR IMP 2ND RND TRP MN ONLY")</f>
        <v>EX-INFRASTR IMP 2ND RND TRP MN ONLY</v>
      </c>
      <c r="H2455" s="2" t="str">
        <f t="shared" si="389"/>
        <v>NON HWY</v>
      </c>
      <c r="I2455" s="2" t="str">
        <f t="shared" si="390"/>
        <v>207</v>
      </c>
    </row>
    <row r="2456" spans="1:9" x14ac:dyDescent="0.35">
      <c r="A2456" s="2" t="str">
        <f t="shared" si="387"/>
        <v>LA CROSSE</v>
      </c>
      <c r="B2456" s="2" t="str">
        <f t="shared" si="386"/>
        <v>ST OF MINNESOTA DOT</v>
      </c>
      <c r="C2456" s="2" t="s">
        <v>2516</v>
      </c>
      <c r="D2456" s="2" t="str">
        <f>CLEAN("1000-74-55")</f>
        <v>1000-74-55</v>
      </c>
      <c r="E2456" s="3" t="str">
        <f t="shared" si="388"/>
        <v>TCMC INTERCITY PASSENGER RAIL GRANT</v>
      </c>
      <c r="F2456" s="3" t="str">
        <f>CLEAN("LA CROSSE-ST. PAUL/MNDOT ID T9AG347")</f>
        <v>LA CROSSE-ST. PAUL/MNDOT ID T9AG347</v>
      </c>
      <c r="G2456" s="3" t="str">
        <f>CLEAN("EX-INFRASTR IMP 2ND RND TRP MN ONLY")</f>
        <v>EX-INFRASTR IMP 2ND RND TRP MN ONLY</v>
      </c>
      <c r="H2456" s="2" t="str">
        <f t="shared" si="389"/>
        <v>NON HWY</v>
      </c>
      <c r="I2456" s="2" t="str">
        <f t="shared" si="390"/>
        <v>207</v>
      </c>
    </row>
    <row r="2457" spans="1:9" x14ac:dyDescent="0.35">
      <c r="A2457" s="2" t="str">
        <f t="shared" si="387"/>
        <v>LA CROSSE</v>
      </c>
      <c r="B2457" s="2" t="str">
        <f t="shared" si="386"/>
        <v>ST OF MINNESOTA DOT</v>
      </c>
      <c r="C2457" s="2" t="s">
        <v>2501</v>
      </c>
      <c r="D2457" s="2" t="str">
        <f>CLEAN("1000-74-58")</f>
        <v>1000-74-58</v>
      </c>
      <c r="E2457" s="3" t="str">
        <f>CLEAN("TCMC C WINONA LOUISE ST X-ING")</f>
        <v>TCMC C WINONA LOUISE ST X-ING</v>
      </c>
      <c r="F2457" s="3" t="str">
        <f>CLEAN("CP X-ING 391052U/MNDOT ID")</f>
        <v>CP X-ING 391052U/MNDOT ID</v>
      </c>
      <c r="G2457" s="3" t="str">
        <f>CLEAN("EX- RR SIGNAL INSTALL WIRES/DEVICES")</f>
        <v>EX- RR SIGNAL INSTALL WIRES/DEVICES</v>
      </c>
      <c r="H2457" s="2" t="str">
        <f t="shared" si="389"/>
        <v>NON HWY</v>
      </c>
      <c r="I2457" s="2" t="str">
        <f t="shared" si="390"/>
        <v>207</v>
      </c>
    </row>
    <row r="2458" spans="1:9" x14ac:dyDescent="0.35">
      <c r="A2458" s="2" t="str">
        <f t="shared" si="387"/>
        <v>LA CROSSE</v>
      </c>
      <c r="B2458" s="2" t="str">
        <f t="shared" si="386"/>
        <v>ST OF MINNESOTA DOT</v>
      </c>
      <c r="C2458" s="2" t="s">
        <v>2502</v>
      </c>
      <c r="D2458" s="2" t="str">
        <f>CLEAN("1000-74-59")</f>
        <v>1000-74-59</v>
      </c>
      <c r="E2458" s="3" t="str">
        <f>CLEAN("TCMC C WINONA FRANKLIN ST XING")</f>
        <v>TCMC C WINONA FRANKLIN ST XING</v>
      </c>
      <c r="F2458" s="3" t="str">
        <f>CLEAN("CP X-ING 391061T/MNDOT ID")</f>
        <v>CP X-ING 391061T/MNDOT ID</v>
      </c>
      <c r="G2458" s="3" t="str">
        <f>CLEAN("EX- RR SIGNAL INSTALL WIRES/DEVICES")</f>
        <v>EX- RR SIGNAL INSTALL WIRES/DEVICES</v>
      </c>
      <c r="H2458" s="2" t="str">
        <f t="shared" si="389"/>
        <v>NON HWY</v>
      </c>
      <c r="I2458" s="2" t="str">
        <f t="shared" si="390"/>
        <v>207</v>
      </c>
    </row>
    <row r="2459" spans="1:9" x14ac:dyDescent="0.35">
      <c r="A2459" s="2" t="str">
        <f t="shared" si="387"/>
        <v>LA CROSSE</v>
      </c>
      <c r="B2459" s="2" t="str">
        <f t="shared" si="386"/>
        <v>ST OF MINNESOTA DOT</v>
      </c>
      <c r="C2459" s="2" t="s">
        <v>2499</v>
      </c>
      <c r="D2459" s="2" t="str">
        <f>CLEAN("1000-75-50")</f>
        <v>1000-75-50</v>
      </c>
      <c r="E2459" s="3" t="str">
        <f>CLEAN("TCMC C WINONA BIERCE STREET")</f>
        <v>TCMC C WINONA BIERCE STREET</v>
      </c>
      <c r="F2459" s="3" t="str">
        <f>CLEAN("CP X-ING 391093Y/ MNDOT ID T9AG338")</f>
        <v>CP X-ING 391093Y/ MNDOT ID T9AG338</v>
      </c>
      <c r="G2459" s="3" t="str">
        <f>CLEAN("EX- RR CROSSING SURFACE")</f>
        <v>EX- RR CROSSING SURFACE</v>
      </c>
      <c r="H2459" s="2" t="str">
        <f t="shared" si="389"/>
        <v>NON HWY</v>
      </c>
      <c r="I2459" s="2" t="str">
        <f t="shared" si="390"/>
        <v>207</v>
      </c>
    </row>
    <row r="2460" spans="1:9" x14ac:dyDescent="0.35">
      <c r="A2460" s="2" t="str">
        <f t="shared" si="387"/>
        <v>LA CROSSE</v>
      </c>
      <c r="B2460" s="2" t="str">
        <f t="shared" si="386"/>
        <v>ST OF MINNESOTA DOT</v>
      </c>
      <c r="C2460" s="2" t="s">
        <v>2514</v>
      </c>
      <c r="D2460" s="2" t="str">
        <f>CLEAN("1000-75-51")</f>
        <v>1000-75-51</v>
      </c>
      <c r="E2460" s="3" t="str">
        <f>CLEAN("TCMC C WINONA BIERCE ST X-ING")</f>
        <v>TCMC C WINONA BIERCE ST X-ING</v>
      </c>
      <c r="F2460" s="3" t="str">
        <f>CLEAN("UP X-ING 391093Y / MNDOT ID T9AG339")</f>
        <v>UP X-ING 391093Y / MNDOT ID T9AG339</v>
      </c>
      <c r="G2460" s="3" t="str">
        <f>CLEAN("EX- UP RR CROSS SIGNAL DES PLN REV")</f>
        <v>EX- UP RR CROSS SIGNAL DES PLN REV</v>
      </c>
      <c r="H2460" s="2" t="str">
        <f t="shared" si="389"/>
        <v>NON HWY</v>
      </c>
      <c r="I2460" s="2" t="str">
        <f t="shared" si="390"/>
        <v>207</v>
      </c>
    </row>
    <row r="2461" spans="1:9" x14ac:dyDescent="0.35">
      <c r="A2461" s="2" t="str">
        <f t="shared" si="387"/>
        <v>LA CROSSE</v>
      </c>
      <c r="B2461" s="2" t="str">
        <f t="shared" si="386"/>
        <v>ST OF MINNESOTA DOT</v>
      </c>
      <c r="C2461" s="2" t="s">
        <v>2500</v>
      </c>
      <c r="D2461" s="2" t="str">
        <f>CLEAN("1000-75-52")</f>
        <v>1000-75-52</v>
      </c>
      <c r="E2461" s="3" t="str">
        <f>CLEAN("TCMC C WINONA BIERCE ST X-ING")</f>
        <v>TCMC C WINONA BIERCE ST X-ING</v>
      </c>
      <c r="F2461" s="3" t="str">
        <f>CLEAN("CP X-ING 391093Y/ MNDOT ID T9AG326")</f>
        <v>CP X-ING 391093Y/ MNDOT ID T9AG326</v>
      </c>
      <c r="G2461" s="3" t="str">
        <f>CLEAN("EX- RR REPLACE BUNGALOW/ SIGNALS")</f>
        <v>EX- RR REPLACE BUNGALOW/ SIGNALS</v>
      </c>
      <c r="H2461" s="2" t="str">
        <f t="shared" si="389"/>
        <v>NON HWY</v>
      </c>
      <c r="I2461" s="2" t="str">
        <f t="shared" si="390"/>
        <v>207</v>
      </c>
    </row>
    <row r="2462" spans="1:9" x14ac:dyDescent="0.35">
      <c r="A2462" s="2" t="str">
        <f t="shared" si="387"/>
        <v>LA CROSSE</v>
      </c>
      <c r="B2462" s="2" t="str">
        <f t="shared" si="386"/>
        <v>ST OF MINNESOTA DOT</v>
      </c>
      <c r="C2462" s="2" t="s">
        <v>2512</v>
      </c>
      <c r="D2462" s="2" t="str">
        <f>CLEAN("1000-75-56")</f>
        <v>1000-75-56</v>
      </c>
      <c r="E2462" s="3" t="str">
        <f>CLEAN("TCMC C WINONA HAMILTON ST X-ING")</f>
        <v>TCMC C WINONA HAMILTON ST X-ING</v>
      </c>
      <c r="F2462" s="3" t="str">
        <f>CLEAN("CP X-ING 391060L/ MNDOT ID T9AG327")</f>
        <v>CP X-ING 391060L/ MNDOT ID T9AG327</v>
      </c>
      <c r="G2462" s="3" t="str">
        <f>CLEAN("EX- RR SIGNALS MASTS W/ GATES")</f>
        <v>EX- RR SIGNALS MASTS W/ GATES</v>
      </c>
      <c r="H2462" s="2" t="str">
        <f t="shared" si="389"/>
        <v>NON HWY</v>
      </c>
      <c r="I2462" s="2" t="str">
        <f t="shared" si="390"/>
        <v>207</v>
      </c>
    </row>
    <row r="2463" spans="1:9" x14ac:dyDescent="0.35">
      <c r="A2463" s="2" t="str">
        <f t="shared" si="387"/>
        <v>LA CROSSE</v>
      </c>
      <c r="B2463" s="2" t="str">
        <f t="shared" si="386"/>
        <v>ST OF MINNESOTA DOT</v>
      </c>
      <c r="C2463" s="2" t="s">
        <v>2503</v>
      </c>
      <c r="D2463" s="2" t="str">
        <f>CLEAN("1000-78-50")</f>
        <v>1000-78-50</v>
      </c>
      <c r="E2463" s="3" t="str">
        <f>CLEAN("TCMC C WINONA MANKATO AVE X-ING")</f>
        <v>TCMC C WINONA MANKATO AVE X-ING</v>
      </c>
      <c r="F2463" s="3" t="str">
        <f>CLEAN("CP X-ING 391055P/ MNDOT ID T9AG328")</f>
        <v>CP X-ING 391055P/ MNDOT ID T9AG328</v>
      </c>
      <c r="G2463" s="3" t="str">
        <f t="shared" ref="G2463:G2471" si="391">CLEAN("EX- RR SIGNALS")</f>
        <v>EX- RR SIGNALS</v>
      </c>
      <c r="H2463" s="2" t="str">
        <f t="shared" si="389"/>
        <v>NON HWY</v>
      </c>
      <c r="I2463" s="2" t="str">
        <f t="shared" si="390"/>
        <v>207</v>
      </c>
    </row>
    <row r="2464" spans="1:9" x14ac:dyDescent="0.35">
      <c r="A2464" s="2" t="str">
        <f t="shared" si="387"/>
        <v>LA CROSSE</v>
      </c>
      <c r="B2464" s="2" t="str">
        <f t="shared" si="386"/>
        <v>ST OF MINNESOTA DOT</v>
      </c>
      <c r="C2464" s="2" t="s">
        <v>2504</v>
      </c>
      <c r="D2464" s="2" t="str">
        <f>CLEAN("1000-78-51")</f>
        <v>1000-78-51</v>
      </c>
      <c r="E2464" s="3" t="str">
        <f>CLEAN("TCMC C WINONA MAIN ST (STH 43) XING")</f>
        <v>TCMC C WINONA MAIN ST (STH 43) XING</v>
      </c>
      <c r="F2464" s="3" t="str">
        <f>CLEAN("CP X-ING 391062A/ MNDOT ID T9AG329")</f>
        <v>CP X-ING 391062A/ MNDOT ID T9AG329</v>
      </c>
      <c r="G2464" s="3" t="str">
        <f t="shared" si="391"/>
        <v>EX- RR SIGNALS</v>
      </c>
      <c r="H2464" s="2" t="str">
        <f t="shared" si="389"/>
        <v>NON HWY</v>
      </c>
      <c r="I2464" s="2" t="str">
        <f t="shared" si="390"/>
        <v>207</v>
      </c>
    </row>
    <row r="2465" spans="1:9" x14ac:dyDescent="0.35">
      <c r="A2465" s="2" t="str">
        <f t="shared" si="387"/>
        <v>LA CROSSE</v>
      </c>
      <c r="B2465" s="2" t="str">
        <f t="shared" si="386"/>
        <v>ST OF MINNESOTA DOT</v>
      </c>
      <c r="C2465" s="2" t="s">
        <v>2505</v>
      </c>
      <c r="D2465" s="2" t="str">
        <f>CLEAN("1000-78-52")</f>
        <v>1000-78-52</v>
      </c>
      <c r="E2465" s="3" t="str">
        <f>CLEAN("TCMC C WINONA HUFF ST X-ING")</f>
        <v>TCMC C WINONA HUFF ST X-ING</v>
      </c>
      <c r="F2465" s="3" t="str">
        <f>CLEAN("CP X-ING 391066C/ MNDOT ID T9AG330")</f>
        <v>CP X-ING 391066C/ MNDOT ID T9AG330</v>
      </c>
      <c r="G2465" s="3" t="str">
        <f t="shared" si="391"/>
        <v>EX- RR SIGNALS</v>
      </c>
      <c r="H2465" s="2" t="str">
        <f t="shared" si="389"/>
        <v>NON HWY</v>
      </c>
      <c r="I2465" s="2" t="str">
        <f t="shared" si="390"/>
        <v>207</v>
      </c>
    </row>
    <row r="2466" spans="1:9" x14ac:dyDescent="0.35">
      <c r="A2466" s="2" t="str">
        <f t="shared" si="387"/>
        <v>LA CROSSE</v>
      </c>
      <c r="B2466" s="2" t="str">
        <f t="shared" si="386"/>
        <v>ST OF MINNESOTA DOT</v>
      </c>
      <c r="C2466" s="2" t="s">
        <v>2506</v>
      </c>
      <c r="D2466" s="2" t="str">
        <f>CLEAN("1000-78-53")</f>
        <v>1000-78-53</v>
      </c>
      <c r="E2466" s="3" t="str">
        <f>CLEAN("TCMC C WINONA GRAND ST X-ING")</f>
        <v>TCMC C WINONA GRAND ST X-ING</v>
      </c>
      <c r="F2466" s="3" t="str">
        <f>CLEAN("CP X-ING 391069X/ MNDOT ID T9AG331")</f>
        <v>CP X-ING 391069X/ MNDOT ID T9AG331</v>
      </c>
      <c r="G2466" s="3" t="str">
        <f t="shared" si="391"/>
        <v>EX- RR SIGNALS</v>
      </c>
      <c r="H2466" s="2" t="str">
        <f t="shared" si="389"/>
        <v>NON HWY</v>
      </c>
      <c r="I2466" s="2" t="str">
        <f t="shared" si="390"/>
        <v>207</v>
      </c>
    </row>
    <row r="2467" spans="1:9" x14ac:dyDescent="0.35">
      <c r="A2467" s="2" t="str">
        <f t="shared" si="387"/>
        <v>LA CROSSE</v>
      </c>
      <c r="B2467" s="2" t="str">
        <f t="shared" si="386"/>
        <v>ST OF MINNESOTA DOT</v>
      </c>
      <c r="C2467" s="2" t="s">
        <v>2507</v>
      </c>
      <c r="D2467" s="2" t="str">
        <f>CLEAN("1000-78-54")</f>
        <v>1000-78-54</v>
      </c>
      <c r="E2467" s="3" t="str">
        <f>CLEAN("TCMC C WINONA SIOUX ST X-ING")</f>
        <v>TCMC C WINONA SIOUX ST X-ING</v>
      </c>
      <c r="F2467" s="3" t="str">
        <f>CLEAN("CP X-ING 391072F/ MNDOT ID T9AG332")</f>
        <v>CP X-ING 391072F/ MNDOT ID T9AG332</v>
      </c>
      <c r="G2467" s="3" t="str">
        <f t="shared" si="391"/>
        <v>EX- RR SIGNALS</v>
      </c>
      <c r="H2467" s="2" t="str">
        <f t="shared" si="389"/>
        <v>NON HWY</v>
      </c>
      <c r="I2467" s="2" t="str">
        <f t="shared" si="390"/>
        <v>207</v>
      </c>
    </row>
    <row r="2468" spans="1:9" x14ac:dyDescent="0.35">
      <c r="A2468" s="2" t="str">
        <f t="shared" si="387"/>
        <v>LA CROSSE</v>
      </c>
      <c r="B2468" s="2" t="str">
        <f t="shared" si="386"/>
        <v>ST OF MINNESOTA DOT</v>
      </c>
      <c r="C2468" s="2" t="s">
        <v>2508</v>
      </c>
      <c r="D2468" s="2" t="str">
        <f>CLEAN("1000-78-55")</f>
        <v>1000-78-55</v>
      </c>
      <c r="E2468" s="3" t="str">
        <f>CLEAN("TCMC C WINONA 10TH ST X-ING")</f>
        <v>TCMC C WINONA 10TH ST X-ING</v>
      </c>
      <c r="F2468" s="3" t="str">
        <f>CLEAN("CP X-ING 391075B/ MNDOT ID T9AG333")</f>
        <v>CP X-ING 391075B/ MNDOT ID T9AG333</v>
      </c>
      <c r="G2468" s="3" t="str">
        <f t="shared" si="391"/>
        <v>EX- RR SIGNALS</v>
      </c>
      <c r="H2468" s="2" t="str">
        <f t="shared" si="389"/>
        <v>NON HWY</v>
      </c>
      <c r="I2468" s="2" t="str">
        <f t="shared" si="390"/>
        <v>207</v>
      </c>
    </row>
    <row r="2469" spans="1:9" x14ac:dyDescent="0.35">
      <c r="A2469" s="2" t="str">
        <f t="shared" si="387"/>
        <v>LA CROSSE</v>
      </c>
      <c r="B2469" s="2" t="str">
        <f t="shared" si="386"/>
        <v>ST OF MINNESOTA DOT</v>
      </c>
      <c r="C2469" s="2" t="s">
        <v>2509</v>
      </c>
      <c r="D2469" s="2" t="str">
        <f>CLEAN("1000-78-56")</f>
        <v>1000-78-56</v>
      </c>
      <c r="E2469" s="3" t="str">
        <f>CLEAN("TCMC C WINONA WABASHA/BAKER ST XING")</f>
        <v>TCMC C WINONA WABASHA/BAKER ST XING</v>
      </c>
      <c r="F2469" s="3" t="str">
        <f>CLEAN("CP X-ING 391078W/ MNDOT ID T9AG334")</f>
        <v>CP X-ING 391078W/ MNDOT ID T9AG334</v>
      </c>
      <c r="G2469" s="3" t="str">
        <f t="shared" si="391"/>
        <v>EX- RR SIGNALS</v>
      </c>
      <c r="H2469" s="2" t="str">
        <f t="shared" si="389"/>
        <v>NON HWY</v>
      </c>
      <c r="I2469" s="2" t="str">
        <f t="shared" si="390"/>
        <v>207</v>
      </c>
    </row>
    <row r="2470" spans="1:9" x14ac:dyDescent="0.35">
      <c r="A2470" s="2" t="str">
        <f t="shared" si="387"/>
        <v>LA CROSSE</v>
      </c>
      <c r="B2470" s="2" t="str">
        <f t="shared" si="386"/>
        <v>ST OF MINNESOTA DOT</v>
      </c>
      <c r="C2470" s="2" t="s">
        <v>2510</v>
      </c>
      <c r="D2470" s="2" t="str">
        <f>CLEAN("1000-78-57")</f>
        <v>1000-78-57</v>
      </c>
      <c r="E2470" s="3" t="str">
        <f>CLEAN("TCMC C WINONA BROADWAY/6TH ST X-ING")</f>
        <v>TCMC C WINONA BROADWAY/6TH ST X-ING</v>
      </c>
      <c r="F2470" s="3" t="str">
        <f>CLEAN("CP X-ING 391079D/ MNDOT ID T9AG335")</f>
        <v>CP X-ING 391079D/ MNDOT ID T9AG335</v>
      </c>
      <c r="G2470" s="3" t="str">
        <f t="shared" si="391"/>
        <v>EX- RR SIGNALS</v>
      </c>
      <c r="H2470" s="2" t="str">
        <f t="shared" si="389"/>
        <v>NON HWY</v>
      </c>
      <c r="I2470" s="2" t="str">
        <f t="shared" si="390"/>
        <v>207</v>
      </c>
    </row>
    <row r="2471" spans="1:9" x14ac:dyDescent="0.35">
      <c r="A2471" s="2" t="str">
        <f t="shared" si="387"/>
        <v>LA CROSSE</v>
      </c>
      <c r="B2471" s="2" t="str">
        <f t="shared" si="386"/>
        <v>ST OF MINNESOTA DOT</v>
      </c>
      <c r="C2471" s="2" t="s">
        <v>2511</v>
      </c>
      <c r="D2471" s="2" t="str">
        <f>CLEAN("1000-78-58")</f>
        <v>1000-78-58</v>
      </c>
      <c r="E2471" s="3" t="str">
        <f>CLEAN("TCMC C WINONA 5TH/JACKSON ST X-ING")</f>
        <v>TCMC C WINONA 5TH/JACKSON ST X-ING</v>
      </c>
      <c r="F2471" s="3" t="str">
        <f>CLEAN("CP X-ING 391080X/ MNDOT ID T9AG336")</f>
        <v>CP X-ING 391080X/ MNDOT ID T9AG336</v>
      </c>
      <c r="G2471" s="3" t="str">
        <f t="shared" si="391"/>
        <v>EX- RR SIGNALS</v>
      </c>
      <c r="H2471" s="2" t="str">
        <f t="shared" si="389"/>
        <v>NON HWY</v>
      </c>
      <c r="I2471" s="2" t="str">
        <f t="shared" si="390"/>
        <v>207</v>
      </c>
    </row>
    <row r="2472" spans="1:9" x14ac:dyDescent="0.35">
      <c r="A2472" s="2" t="str">
        <f t="shared" si="387"/>
        <v>LA CROSSE</v>
      </c>
      <c r="B2472" s="2" t="str">
        <f t="shared" si="386"/>
        <v>ST OF MINNESOTA DOT</v>
      </c>
      <c r="C2472" s="2" t="s">
        <v>2518</v>
      </c>
      <c r="D2472" s="2" t="str">
        <f>CLEAN("1000-78-59")</f>
        <v>1000-78-59</v>
      </c>
      <c r="E2472" s="3" t="str">
        <f>CLEAN("TCMC INTERCITY PASSENGER RAIL GRANT")</f>
        <v>TCMC INTERCITY PASSENGER RAIL GRANT</v>
      </c>
      <c r="F2472" s="3" t="str">
        <f>CLEAN("LA CROSSE-ST. PAUL/MNDOT ID T9AG348")</f>
        <v>LA CROSSE-ST. PAUL/MNDOT ID T9AG348</v>
      </c>
      <c r="G2472" s="3" t="str">
        <f>CLEAN("EX-INFRASTR IMP 2ND RND TRP MN ONLY")</f>
        <v>EX-INFRASTR IMP 2ND RND TRP MN ONLY</v>
      </c>
      <c r="H2472" s="2" t="str">
        <f t="shared" si="389"/>
        <v>NON HWY</v>
      </c>
      <c r="I2472" s="2" t="str">
        <f t="shared" si="390"/>
        <v>207</v>
      </c>
    </row>
    <row r="2473" spans="1:9" x14ac:dyDescent="0.35">
      <c r="A2473" s="2" t="str">
        <f t="shared" si="387"/>
        <v>LA CROSSE</v>
      </c>
      <c r="B2473" s="2" t="str">
        <f t="shared" si="386"/>
        <v>ST OF MINNESOTA DOT</v>
      </c>
      <c r="C2473" s="2" t="s">
        <v>2517</v>
      </c>
      <c r="D2473" s="2" t="str">
        <f>CLEAN("1000-79-51")</f>
        <v>1000-79-51</v>
      </c>
      <c r="E2473" s="3" t="str">
        <f>CLEAN("TCMC INTERCITY PASSENGER RAIL GRANT")</f>
        <v>TCMC INTERCITY PASSENGER RAIL GRANT</v>
      </c>
      <c r="F2473" s="3" t="str">
        <f>CLEAN("LA CROSSE-ST. PAUL/MNDOT ID T9AG347")</f>
        <v>LA CROSSE-ST. PAUL/MNDOT ID T9AG347</v>
      </c>
      <c r="G2473" s="3" t="str">
        <f>CLEAN("EX-INFRASTR IMP 2ND RND TRP MN ONLY")</f>
        <v>EX-INFRASTR IMP 2ND RND TRP MN ONLY</v>
      </c>
      <c r="H2473" s="2" t="str">
        <f t="shared" si="389"/>
        <v>NON HWY</v>
      </c>
      <c r="I2473" s="2" t="str">
        <f t="shared" si="390"/>
        <v>207</v>
      </c>
    </row>
    <row r="2474" spans="1:9" x14ac:dyDescent="0.35">
      <c r="A2474" s="2" t="str">
        <f>CLEAN("ST. CROIX")</f>
        <v>ST. CROIX</v>
      </c>
      <c r="B2474" s="2" t="str">
        <f t="shared" si="386"/>
        <v>ST OF MINNESOTA DOT</v>
      </c>
      <c r="C2474" s="2" t="s">
        <v>1417</v>
      </c>
      <c r="D2474" s="2" t="str">
        <f>CLEAN("1020-00-10")</f>
        <v>1020-00-10</v>
      </c>
      <c r="E2474" s="3" t="str">
        <f>CLEAN("HUDSON - BALDWIN")</f>
        <v>HUDSON - BALDWIN</v>
      </c>
      <c r="F2474" s="3" t="str">
        <f>CLEAN("ST CROIX RIVER B-55-0061  B-55-0126")</f>
        <v>ST CROIX RIVER B-55-0061  B-55-0126</v>
      </c>
      <c r="G2474" s="3" t="str">
        <f>CLEAN("DESIGN - FULL PS&amp;E BRRHB")</f>
        <v>DESIGN - FULL PS&amp;E BRRHB</v>
      </c>
      <c r="H2474" s="2" t="str">
        <f>CLEAN("IH  094")</f>
        <v>IH  094</v>
      </c>
      <c r="I2474" s="2" t="str">
        <f>CLEAN("303")</f>
        <v>303</v>
      </c>
    </row>
    <row r="2475" spans="1:9" x14ac:dyDescent="0.35">
      <c r="A2475" s="2" t="str">
        <f>CLEAN("ST. CROIX")</f>
        <v>ST. CROIX</v>
      </c>
      <c r="B2475" s="2" t="str">
        <f t="shared" si="386"/>
        <v>ST OF MINNESOTA DOT</v>
      </c>
      <c r="C2475" s="2" t="s">
        <v>1222</v>
      </c>
      <c r="D2475" s="2" t="str">
        <f>CLEAN("1020-00-80")</f>
        <v>1020-00-80</v>
      </c>
      <c r="E2475" s="3" t="str">
        <f>CLEAN("HUDSON - BALDWIN")</f>
        <v>HUDSON - BALDWIN</v>
      </c>
      <c r="F2475" s="3" t="str">
        <f>CLEAN("ST CROIX RIVER B-55-0061  B-55-0126")</f>
        <v>ST CROIX RIVER B-55-0061  B-55-0126</v>
      </c>
      <c r="G2475" s="3" t="str">
        <f>CLEAN("CONSTRUCTION/BRRHB")</f>
        <v>CONSTRUCTION/BRRHB</v>
      </c>
      <c r="H2475" s="2" t="str">
        <f>CLEAN("IH  094")</f>
        <v>IH  094</v>
      </c>
      <c r="I2475" s="2" t="str">
        <f>CLEAN("303")</f>
        <v>303</v>
      </c>
    </row>
    <row r="2476" spans="1:9" x14ac:dyDescent="0.35">
      <c r="A2476" s="2" t="str">
        <f>CLEAN("DOUGLAS")</f>
        <v>DOUGLAS</v>
      </c>
      <c r="B2476" s="2" t="str">
        <f t="shared" si="386"/>
        <v>ST OF MINNESOTA DOT</v>
      </c>
      <c r="C2476" s="2" t="s">
        <v>1387</v>
      </c>
      <c r="D2476" s="2" t="str">
        <f>CLEAN("1199-00-08")</f>
        <v>1199-00-08</v>
      </c>
      <c r="E2476" s="3" t="str">
        <f>CLEAN("SUPERIOR - DULUTH")</f>
        <v>SUPERIOR - DULUTH</v>
      </c>
      <c r="F2476" s="3" t="str">
        <f>CLEAN("STLOUIS RV BR B16-0005-0001 TO 0005")</f>
        <v>STLOUIS RV BR B16-0005-0001 TO 0005</v>
      </c>
      <c r="G2476" s="3" t="str">
        <f>CLEAN("CORE WISDOT STAFF ADMIN &amp; REVIEW")</f>
        <v>CORE WISDOT STAFF ADMIN &amp; REVIEW</v>
      </c>
      <c r="H2476" s="2" t="str">
        <f>CLEAN("IH  535")</f>
        <v>IH  535</v>
      </c>
      <c r="I2476" s="2" t="str">
        <f>CLEAN("304")</f>
        <v>304</v>
      </c>
    </row>
    <row r="2477" spans="1:9" x14ac:dyDescent="0.35">
      <c r="A2477" s="2" t="str">
        <f>CLEAN("DOUGLAS")</f>
        <v>DOUGLAS</v>
      </c>
      <c r="B2477" s="2" t="str">
        <f t="shared" si="386"/>
        <v>ST OF MINNESOTA DOT</v>
      </c>
      <c r="C2477" s="2" t="s">
        <v>1388</v>
      </c>
      <c r="D2477" s="2" t="str">
        <f>CLEAN("1199-00-12")</f>
        <v>1199-00-12</v>
      </c>
      <c r="E2477" s="3" t="str">
        <f>CLEAN("SUPERIOR - DULUTH")</f>
        <v>SUPERIOR - DULUTH</v>
      </c>
      <c r="F2477" s="3" t="str">
        <f>CLEAN("STLOUIS RV BR B16-0005-0001 TO 0005")</f>
        <v>STLOUIS RV BR B16-0005-0001 TO 0005</v>
      </c>
      <c r="G2477" s="3" t="str">
        <f>CLEAN("CORE WISDOT STAFF ADMIN &amp; REVIEW")</f>
        <v>CORE WISDOT STAFF ADMIN &amp; REVIEW</v>
      </c>
      <c r="H2477" s="2" t="str">
        <f>CLEAN("IH  535")</f>
        <v>IH  535</v>
      </c>
      <c r="I2477" s="2" t="str">
        <f>CLEAN("304")</f>
        <v>304</v>
      </c>
    </row>
    <row r="2478" spans="1:9" x14ac:dyDescent="0.35">
      <c r="A2478" s="2" t="str">
        <f>CLEAN("PIERCE")</f>
        <v>PIERCE</v>
      </c>
      <c r="B2478" s="2" t="str">
        <f t="shared" si="386"/>
        <v>ST OF MINNESOTA DOT</v>
      </c>
      <c r="C2478" s="2" t="s">
        <v>1834</v>
      </c>
      <c r="D2478" s="2" t="str">
        <f>CLEAN("1530-01-05")</f>
        <v>1530-01-05</v>
      </c>
      <c r="E2478" s="3" t="str">
        <f>CLEAN("HASTINGS - PRESCOTT")</f>
        <v>HASTINGS - PRESCOTT</v>
      </c>
      <c r="F2478" s="3" t="str">
        <f>CLEAN("ST CROIX RIVER BRIDGE B-47-0040")</f>
        <v>ST CROIX RIVER BRIDGE B-47-0040</v>
      </c>
      <c r="G2478" s="3" t="str">
        <f>CLEAN("DESIGN/BRRHB/WI LEAD/COST SHARE MN")</f>
        <v>DESIGN/BRRHB/WI LEAD/COST SHARE MN</v>
      </c>
      <c r="H2478" s="2" t="str">
        <f>CLEAN("USH 010")</f>
        <v>USH 010</v>
      </c>
      <c r="I2478" s="2" t="str">
        <f>CLEAN("303")</f>
        <v>303</v>
      </c>
    </row>
    <row r="2479" spans="1:9" x14ac:dyDescent="0.35">
      <c r="A2479" s="2" t="str">
        <f>CLEAN("PIERCE")</f>
        <v>PIERCE</v>
      </c>
      <c r="B2479" s="2" t="str">
        <f t="shared" si="386"/>
        <v>ST OF MINNESOTA DOT</v>
      </c>
      <c r="C2479" s="2" t="s">
        <v>1124</v>
      </c>
      <c r="D2479" s="2" t="str">
        <f>CLEAN("1530-01-75")</f>
        <v>1530-01-75</v>
      </c>
      <c r="E2479" s="3" t="str">
        <f>CLEAN("HASTINGS - PRESCOTT")</f>
        <v>HASTINGS - PRESCOTT</v>
      </c>
      <c r="F2479" s="3" t="str">
        <f>CLEAN("ST CROIX RIVER BRIDGE B-47-0040")</f>
        <v>ST CROIX RIVER BRIDGE B-47-0040</v>
      </c>
      <c r="G2479" s="3" t="str">
        <f>CLEAN("CONSTR/BRRHB/WI LEAD/COST SHARE MN")</f>
        <v>CONSTR/BRRHB/WI LEAD/COST SHARE MN</v>
      </c>
      <c r="H2479" s="2" t="str">
        <f>CLEAN("USH 010")</f>
        <v>USH 010</v>
      </c>
      <c r="I2479" s="2" t="str">
        <f>CLEAN("303")</f>
        <v>303</v>
      </c>
    </row>
    <row r="2480" spans="1:9" x14ac:dyDescent="0.35">
      <c r="A2480" s="2" t="str">
        <f>CLEAN("BURNETT")</f>
        <v>BURNETT</v>
      </c>
      <c r="B2480" s="2" t="str">
        <f t="shared" si="386"/>
        <v>ST OF MINNESOTA DOT</v>
      </c>
      <c r="C2480" s="2" t="s">
        <v>495</v>
      </c>
      <c r="D2480" s="2" t="str">
        <f>CLEAN("8040-01-74")</f>
        <v>8040-01-74</v>
      </c>
      <c r="E2480" s="3" t="str">
        <f>CLEAN("ST CROIX RIVER - GRANTSBURG")</f>
        <v>ST CROIX RIVER - GRANTSBURG</v>
      </c>
      <c r="F2480" s="3" t="str">
        <f>CLEAN("ST CROIX RIVER BRIDGE B-07-0020")</f>
        <v>ST CROIX RIVER BRIDGE B-07-0020</v>
      </c>
      <c r="G2480" s="3" t="str">
        <f>CLEAN("CONST/BRRHB/WI LEAD/COST SHARE MN")</f>
        <v>CONST/BRRHB/WI LEAD/COST SHARE MN</v>
      </c>
      <c r="H2480" s="2" t="str">
        <f>CLEAN("STH 070")</f>
        <v>STH 070</v>
      </c>
      <c r="I2480" s="2" t="str">
        <f>CLEAN("303")</f>
        <v>303</v>
      </c>
    </row>
    <row r="2481" spans="1:9" x14ac:dyDescent="0.35">
      <c r="A2481" s="2" t="str">
        <f>CLEAN("ST. CROIX")</f>
        <v>ST. CROIX</v>
      </c>
      <c r="B2481" s="2" t="str">
        <f t="shared" si="386"/>
        <v>ST OF MINNESOTA DOT</v>
      </c>
      <c r="C2481" s="2" t="s">
        <v>1290</v>
      </c>
      <c r="D2481" s="2" t="str">
        <f>CLEAN("8110-02-71")</f>
        <v>8110-02-71</v>
      </c>
      <c r="E2481" s="3" t="str">
        <f>CLEAN("STILLWATER - SOMERSET")</f>
        <v>STILLWATER - SOMERSET</v>
      </c>
      <c r="F2481" s="3" t="str">
        <f>CLEAN("ST CROIX RIVER TO CTH E  B-55-0225")</f>
        <v>ST CROIX RIVER TO CTH E  B-55-0225</v>
      </c>
      <c r="G2481" s="3" t="str">
        <f>CLEAN("CONSTRUCTION/NEW BRG/GRADE/BASE/")</f>
        <v>CONSTRUCTION/NEW BRG/GRADE/BASE/</v>
      </c>
      <c r="H2481" s="2" t="str">
        <f>CLEAN("STH 064")</f>
        <v>STH 064</v>
      </c>
      <c r="I2481" s="2" t="str">
        <f>CLEAN("304")</f>
        <v>304</v>
      </c>
    </row>
    <row r="2482" spans="1:9" x14ac:dyDescent="0.35">
      <c r="A2482" s="2" t="str">
        <f>CLEAN("ST. CROIX")</f>
        <v>ST. CROIX</v>
      </c>
      <c r="B2482" s="2" t="str">
        <f t="shared" si="386"/>
        <v>ST OF MINNESOTA DOT</v>
      </c>
      <c r="C2482" s="2" t="s">
        <v>1289</v>
      </c>
      <c r="D2482" s="2" t="str">
        <f>CLEAN("8110-02-72")</f>
        <v>8110-02-72</v>
      </c>
      <c r="E2482" s="3" t="str">
        <f>CLEAN("STILLWATER - SOMERSET")</f>
        <v>STILLWATER - SOMERSET</v>
      </c>
      <c r="F2482" s="3" t="str">
        <f>CLEAN("CTH E TO 150TH AV B55-0226 C55-0035")</f>
        <v>CTH E TO 150TH AV B55-0226 C55-0035</v>
      </c>
      <c r="G2482" s="3" t="str">
        <f>CLEAN("CONSTRUCTION/NEW BRG/GRADE/BASE/")</f>
        <v>CONSTRUCTION/NEW BRG/GRADE/BASE/</v>
      </c>
      <c r="H2482" s="2" t="str">
        <f>CLEAN("STH 064")</f>
        <v>STH 064</v>
      </c>
      <c r="I2482" s="2" t="str">
        <f>CLEAN("304")</f>
        <v>304</v>
      </c>
    </row>
    <row r="2483" spans="1:9" x14ac:dyDescent="0.35">
      <c r="A2483" s="2" t="str">
        <f>CLEAN("ST. CROIX")</f>
        <v>ST. CROIX</v>
      </c>
      <c r="B2483" s="2" t="str">
        <f t="shared" si="386"/>
        <v>ST OF MINNESOTA DOT</v>
      </c>
      <c r="C2483" s="2" t="s">
        <v>1299</v>
      </c>
      <c r="D2483" s="2" t="str">
        <f>CLEAN("8110-02-73")</f>
        <v>8110-02-73</v>
      </c>
      <c r="E2483" s="3" t="str">
        <f>CLEAN("STILLWATER - SOMERSET")</f>
        <v>STILLWATER - SOMERSET</v>
      </c>
      <c r="F2483" s="3" t="str">
        <f>CLEAN("LOOP TRAIL SYSTEM(PED/BIKE FACILTY)")</f>
        <v>LOOP TRAIL SYSTEM(PED/BIKE FACILTY)</v>
      </c>
      <c r="G2483" s="3" t="str">
        <f>CLEAN("CONSTRUCTION/PED/BIKE TRAIL")</f>
        <v>CONSTRUCTION/PED/BIKE TRAIL</v>
      </c>
      <c r="H2483" s="2" t="str">
        <f>CLEAN("STH 064")</f>
        <v>STH 064</v>
      </c>
      <c r="I2483" s="2" t="str">
        <f>CLEAN("304")</f>
        <v>304</v>
      </c>
    </row>
    <row r="2484" spans="1:9" x14ac:dyDescent="0.35">
      <c r="A2484" s="2" t="str">
        <f>CLEAN("ST. CROIX")</f>
        <v>ST. CROIX</v>
      </c>
      <c r="B2484" s="2" t="str">
        <f t="shared" si="386"/>
        <v>ST OF MINNESOTA DOT</v>
      </c>
      <c r="C2484" s="2" t="s">
        <v>1298</v>
      </c>
      <c r="D2484" s="2" t="str">
        <f>CLEAN("8110-02-75")</f>
        <v>8110-02-75</v>
      </c>
      <c r="E2484" s="3" t="str">
        <f>CLEAN("STILLWATER - SOMERSET")</f>
        <v>STILLWATER - SOMERSET</v>
      </c>
      <c r="F2484" s="3" t="str">
        <f>CLEAN("ST CROIX RIVER TO 150TH AVENUE")</f>
        <v>ST CROIX RIVER TO 150TH AVENUE</v>
      </c>
      <c r="G2484" s="3" t="str">
        <f>CLEAN("CONSTRUCTION/PAVING")</f>
        <v>CONSTRUCTION/PAVING</v>
      </c>
      <c r="H2484" s="2" t="str">
        <f>CLEAN("STH 064")</f>
        <v>STH 064</v>
      </c>
      <c r="I2484" s="2" t="str">
        <f>CLEAN("304")</f>
        <v>304</v>
      </c>
    </row>
    <row r="2485" spans="1:9" x14ac:dyDescent="0.35">
      <c r="A2485" s="2" t="str">
        <f>CLEAN("POLK")</f>
        <v>POLK</v>
      </c>
      <c r="B2485" s="2" t="str">
        <f t="shared" si="386"/>
        <v>ST OF MINNESOTA DOT</v>
      </c>
      <c r="C2485" s="2" t="s">
        <v>1386</v>
      </c>
      <c r="D2485" s="2" t="str">
        <f>CLEAN("8417-00-03")</f>
        <v>8417-00-03</v>
      </c>
      <c r="E2485" s="3" t="str">
        <f>CLEAN("ST CROIX RIVER - OSCEOLA")</f>
        <v>ST CROIX RIVER - OSCEOLA</v>
      </c>
      <c r="F2485" s="3" t="str">
        <f>CLEAN("ST CROIX RIVER BRIDGE B-48-0224")</f>
        <v>ST CROIX RIVER BRIDGE B-48-0224</v>
      </c>
      <c r="G2485" s="3" t="str">
        <f>CLEAN("CORE WISDOT STAFF ADMIN &amp; REVIEW")</f>
        <v>CORE WISDOT STAFF ADMIN &amp; REVIEW</v>
      </c>
      <c r="H2485" s="2" t="str">
        <f>CLEAN("STH 243")</f>
        <v>STH 243</v>
      </c>
      <c r="I2485" s="2" t="str">
        <f>CLEAN("303")</f>
        <v>303</v>
      </c>
    </row>
    <row r="2486" spans="1:9" x14ac:dyDescent="0.35">
      <c r="A2486" s="2" t="str">
        <f>CLEAN("BURNETT")</f>
        <v>BURNETT</v>
      </c>
      <c r="B2486" s="2" t="str">
        <f t="shared" si="386"/>
        <v>ST OF MINNESOTA DOT</v>
      </c>
      <c r="C2486" s="2" t="s">
        <v>494</v>
      </c>
      <c r="D2486" s="2" t="str">
        <f>CLEAN("8560-01-73")</f>
        <v>8560-01-73</v>
      </c>
      <c r="E2486" s="3" t="str">
        <f>CLEAN("ST CROIX RIVER - DANBURY")</f>
        <v>ST CROIX RIVER - DANBURY</v>
      </c>
      <c r="F2486" s="3" t="str">
        <f>CLEAN("ST CROIX RIVER BRIDGE B-07-0006")</f>
        <v>ST CROIX RIVER BRIDGE B-07-0006</v>
      </c>
      <c r="G2486" s="3" t="str">
        <f>CLEAN("CONST/BRRHB/WI LEAD/COST SHARE MN")</f>
        <v>CONST/BRRHB/WI LEAD/COST SHARE MN</v>
      </c>
      <c r="H2486" s="2" t="str">
        <f>CLEAN("STH 077")</f>
        <v>STH 077</v>
      </c>
      <c r="I2486" s="2" t="str">
        <f>CLEAN("303")</f>
        <v>303</v>
      </c>
    </row>
    <row r="2487" spans="1:9" x14ac:dyDescent="0.35">
      <c r="A2487" s="2" t="str">
        <f>CLEAN("DOUGLAS")</f>
        <v>DOUGLAS</v>
      </c>
      <c r="B2487" s="2" t="str">
        <f t="shared" si="386"/>
        <v>ST OF MINNESOTA DOT</v>
      </c>
      <c r="C2487" s="2" t="s">
        <v>1830</v>
      </c>
      <c r="D2487" s="2" t="str">
        <f>CLEAN("8680-00-04")</f>
        <v>8680-00-04</v>
      </c>
      <c r="E2487" s="3" t="str">
        <f>CLEAN("SUPERIOR - WENTWORTH")</f>
        <v>SUPERIOR - WENTWORTH</v>
      </c>
      <c r="F2487" s="3" t="str">
        <f>CLEAN("BONG BRIDGE B-16-0038-0001 TO 0019")</f>
        <v>BONG BRIDGE B-16-0038-0001 TO 0019</v>
      </c>
      <c r="G2487" s="3" t="str">
        <f>CLEAN("DESIGN/BRPVTV/WI LEAD/COST SHARE MN")</f>
        <v>DESIGN/BRPVTV/WI LEAD/COST SHARE MN</v>
      </c>
      <c r="H2487" s="2" t="str">
        <f>CLEAN("USH 002")</f>
        <v>USH 002</v>
      </c>
      <c r="I2487" s="2" t="str">
        <f>CLEAN("303")</f>
        <v>303</v>
      </c>
    </row>
    <row r="2488" spans="1:9" x14ac:dyDescent="0.35">
      <c r="A2488" s="2" t="str">
        <f>CLEAN("DOUGLAS")</f>
        <v>DOUGLAS</v>
      </c>
      <c r="B2488" s="2" t="str">
        <f t="shared" si="386"/>
        <v>ST OF MINNESOTA DOT</v>
      </c>
      <c r="C2488" s="2" t="s">
        <v>482</v>
      </c>
      <c r="D2488" s="2" t="str">
        <f>CLEAN("8680-00-74")</f>
        <v>8680-00-74</v>
      </c>
      <c r="E2488" s="3" t="str">
        <f>CLEAN("SUPERIOR - WENTWORTH")</f>
        <v>SUPERIOR - WENTWORTH</v>
      </c>
      <c r="F2488" s="3" t="str">
        <f>CLEAN("BONG BRIDGE B-16-0038-0001 TO 0019")</f>
        <v>BONG BRIDGE B-16-0038-0001 TO 0019</v>
      </c>
      <c r="G2488" s="3" t="str">
        <f>CLEAN("CONST/BRPVTV/WI LEAD/COST SHARE MN")</f>
        <v>CONST/BRPVTV/WI LEAD/COST SHARE MN</v>
      </c>
      <c r="H2488" s="2" t="str">
        <f>CLEAN("USH 002")</f>
        <v>USH 002</v>
      </c>
      <c r="I2488" s="2" t="str">
        <f>CLEAN("303")</f>
        <v>303</v>
      </c>
    </row>
    <row r="2489" spans="1:9" x14ac:dyDescent="0.35">
      <c r="A2489" s="2" t="str">
        <f>CLEAN("STATEWIDE")</f>
        <v>STATEWIDE</v>
      </c>
      <c r="B2489" s="2" t="str">
        <f>CLEAN("STATE OF KANSAS DOT")</f>
        <v>STATE OF KANSAS DOT</v>
      </c>
      <c r="C2489" s="2" t="s">
        <v>3352</v>
      </c>
      <c r="D2489" s="2" t="str">
        <f>CLEAN("1000-99-68")</f>
        <v>1000-99-68</v>
      </c>
      <c r="E2489" s="3" t="str">
        <f>CLEAN("WI TRUCK PARKING INFORMATION SYSTEM")</f>
        <v>WI TRUCK PARKING INFORMATION SYSTEM</v>
      </c>
      <c r="F2489" s="3" t="str">
        <f>CLEAN("STATEWIDE")</f>
        <v>STATEWIDE</v>
      </c>
      <c r="G2489" s="3" t="str">
        <f>CLEAN("TIGER GRANT")</f>
        <v>TIGER GRANT</v>
      </c>
      <c r="H2489" s="2" t="str">
        <f>CLEAN("VAR HWY")</f>
        <v>VAR HWY</v>
      </c>
      <c r="I2489" s="2" t="str">
        <f>CLEAN("305")</f>
        <v>305</v>
      </c>
    </row>
    <row r="2490" spans="1:9" x14ac:dyDescent="0.35">
      <c r="A2490" s="2" t="str">
        <f>CLEAN("DOUGLAS")</f>
        <v>DOUGLAS</v>
      </c>
      <c r="B2490" s="2" t="str">
        <f>CLEAN("SUPERIOR WATER")</f>
        <v>SUPERIOR WATER</v>
      </c>
      <c r="C2490" s="2" t="s">
        <v>1147</v>
      </c>
      <c r="D2490" s="2" t="str">
        <f>CLEAN("1199-00-80")</f>
        <v>1199-00-80</v>
      </c>
      <c r="E2490" s="3" t="str">
        <f>CLEAN("SUPERIOR - DULUTH")</f>
        <v>SUPERIOR - DULUTH</v>
      </c>
      <c r="F2490" s="3" t="str">
        <f>CLEAN("STLOUIS RV BR B16-0005-0001 TO 0005")</f>
        <v>STLOUIS RV BR B16-0005-0001 TO 0005</v>
      </c>
      <c r="G2490" s="3" t="str">
        <f>CLEAN("CONSTR/WATER MAIN")</f>
        <v>CONSTR/WATER MAIN</v>
      </c>
      <c r="H2490" s="2" t="str">
        <f>CLEAN("IH  535")</f>
        <v>IH  535</v>
      </c>
      <c r="I2490" s="2" t="str">
        <f>CLEAN("304")</f>
        <v>304</v>
      </c>
    </row>
    <row r="2491" spans="1:9" x14ac:dyDescent="0.35">
      <c r="A2491" s="2" t="str">
        <f t="shared" ref="A2491:A2515" si="392">CLEAN("TAYLOR")</f>
        <v>TAYLOR</v>
      </c>
      <c r="B2491" s="2" t="str">
        <f t="shared" ref="B2491:B2515" si="393">CLEAN("TAYLOR COUNTY")</f>
        <v>TAYLOR COUNTY</v>
      </c>
      <c r="C2491" s="2" t="s">
        <v>1525</v>
      </c>
      <c r="D2491" s="2" t="str">
        <f>CLEAN("8887-03-02")</f>
        <v>8887-03-02</v>
      </c>
      <c r="E2491" s="3" t="str">
        <f>CLEAN("LUBLIN - STETSONVILLE")</f>
        <v>LUBLIN - STETSONVILLE</v>
      </c>
      <c r="F2491" s="3" t="str">
        <f>CLEAN("N BUTTERNUT ST TO N JEFFERSON ST")</f>
        <v>N BUTTERNUT ST TO N JEFFERSON ST</v>
      </c>
      <c r="G2491" s="3" t="str">
        <f>CLEAN("DESIGN - FULL PS&amp;E RECONSTRUCTION")</f>
        <v>DESIGN - FULL PS&amp;E RECONSTRUCTION</v>
      </c>
      <c r="H2491" s="2" t="str">
        <f>CLEAN("CTH A")</f>
        <v>CTH A</v>
      </c>
      <c r="I2491" s="2" t="str">
        <f>CLEAN("206")</f>
        <v>206</v>
      </c>
    </row>
    <row r="2492" spans="1:9" x14ac:dyDescent="0.35">
      <c r="A2492" s="2" t="str">
        <f t="shared" si="392"/>
        <v>TAYLOR</v>
      </c>
      <c r="B2492" s="2" t="str">
        <f t="shared" si="393"/>
        <v>TAYLOR COUNTY</v>
      </c>
      <c r="C2492" s="2" t="s">
        <v>1408</v>
      </c>
      <c r="D2492" s="2" t="str">
        <f>CLEAN("8887-03-06")</f>
        <v>8887-03-06</v>
      </c>
      <c r="E2492" s="3" t="str">
        <f>CLEAN("LUBLIN - STETSONVILLE")</f>
        <v>LUBLIN - STETSONVILLE</v>
      </c>
      <c r="F2492" s="3" t="str">
        <f>CLEAN("PINE CREEK BRIDGE B-60-0014")</f>
        <v>PINE CREEK BRIDGE B-60-0014</v>
      </c>
      <c r="G2492" s="3" t="str">
        <f>CLEAN("DESIGN - BRIDGE REPLACEMENT")</f>
        <v>DESIGN - BRIDGE REPLACEMENT</v>
      </c>
      <c r="H2492" s="2" t="str">
        <f>CLEAN("CTH A")</f>
        <v>CTH A</v>
      </c>
      <c r="I2492" s="2" t="str">
        <f>CLEAN("205")</f>
        <v>205</v>
      </c>
    </row>
    <row r="2493" spans="1:9" x14ac:dyDescent="0.35">
      <c r="A2493" s="2" t="str">
        <f t="shared" si="392"/>
        <v>TAYLOR</v>
      </c>
      <c r="B2493" s="2" t="str">
        <f t="shared" si="393"/>
        <v>TAYLOR COUNTY</v>
      </c>
      <c r="C2493" s="2" t="s">
        <v>1593</v>
      </c>
      <c r="D2493" s="2" t="str">
        <f>CLEAN("8900-05-05")</f>
        <v>8900-05-05</v>
      </c>
      <c r="E2493" s="3" t="str">
        <f>CLEAN("JUMP RIVER - CTH N")</f>
        <v>JUMP RIVER - CTH N</v>
      </c>
      <c r="F2493" s="3" t="str">
        <f>CLEAN("LEVITT CREEK BRIDGE B-60-0009")</f>
        <v>LEVITT CREEK BRIDGE B-60-0009</v>
      </c>
      <c r="G2493" s="3" t="str">
        <f>CLEAN("DESIGN - FULL PS&amp;E/BRRPL")</f>
        <v>DESIGN - FULL PS&amp;E/BRRPL</v>
      </c>
      <c r="H2493" s="2" t="str">
        <f>CLEAN("CTH D")</f>
        <v>CTH D</v>
      </c>
      <c r="I2493" s="2" t="str">
        <f>CLEAN("205")</f>
        <v>205</v>
      </c>
    </row>
    <row r="2494" spans="1:9" x14ac:dyDescent="0.35">
      <c r="A2494" s="2" t="str">
        <f t="shared" si="392"/>
        <v>TAYLOR</v>
      </c>
      <c r="B2494" s="2" t="str">
        <f t="shared" si="393"/>
        <v>TAYLOR COUNTY</v>
      </c>
      <c r="C2494" s="2" t="s">
        <v>1628</v>
      </c>
      <c r="D2494" s="2" t="str">
        <f>CLEAN("9545-03-03")</f>
        <v>9545-03-03</v>
      </c>
      <c r="E2494" s="3" t="str">
        <f>CLEAN("GAD - NCL")</f>
        <v>GAD - NCL</v>
      </c>
      <c r="F2494" s="3" t="str">
        <f>CLEAN("CTH M TO TROUT AVE WEST")</f>
        <v>CTH M TO TROUT AVE WEST</v>
      </c>
      <c r="G2494" s="3" t="str">
        <f>CLEAN("DESIGN - FULL PS&amp;E/PVRPLA")</f>
        <v>DESIGN - FULL PS&amp;E/PVRPLA</v>
      </c>
      <c r="H2494" s="2" t="str">
        <f>CLEAN("CTH C")</f>
        <v>CTH C</v>
      </c>
      <c r="I2494" s="2" t="str">
        <f>CLEAN("206")</f>
        <v>206</v>
      </c>
    </row>
    <row r="2495" spans="1:9" x14ac:dyDescent="0.35">
      <c r="A2495" s="2" t="str">
        <f t="shared" si="392"/>
        <v>TAYLOR</v>
      </c>
      <c r="B2495" s="2" t="str">
        <f t="shared" si="393"/>
        <v>TAYLOR COUNTY</v>
      </c>
      <c r="C2495" s="2" t="s">
        <v>1571</v>
      </c>
      <c r="D2495" s="2" t="str">
        <f>CLEAN("9545-03-04")</f>
        <v>9545-03-04</v>
      </c>
      <c r="E2495" s="3" t="str">
        <f>CLEAN("CTH M - RIB LAKE")</f>
        <v>CTH M - RIB LAKE</v>
      </c>
      <c r="F2495" s="3" t="str">
        <f>CLEAN("BIG RIB RIVER BRIDGE P-60-0034")</f>
        <v>BIG RIB RIVER BRIDGE P-60-0034</v>
      </c>
      <c r="G2495" s="3" t="str">
        <f>CLEAN("DESIGN - FULL PS&amp;E/BRRPL")</f>
        <v>DESIGN - FULL PS&amp;E/BRRPL</v>
      </c>
      <c r="H2495" s="2" t="str">
        <f>CLEAN("CTH C")</f>
        <v>CTH C</v>
      </c>
      <c r="I2495" s="2" t="str">
        <f>CLEAN("205")</f>
        <v>205</v>
      </c>
    </row>
    <row r="2496" spans="1:9" x14ac:dyDescent="0.35">
      <c r="A2496" s="2" t="str">
        <f t="shared" si="392"/>
        <v>TAYLOR</v>
      </c>
      <c r="B2496" s="2" t="str">
        <f t="shared" si="393"/>
        <v>TAYLOR COUNTY</v>
      </c>
      <c r="C2496" s="2" t="s">
        <v>1472</v>
      </c>
      <c r="D2496" s="2" t="str">
        <f>CLEAN("8885-03-00")</f>
        <v>8885-03-00</v>
      </c>
      <c r="E2496" s="3" t="str">
        <f>CLEAN("LUBLIN - STH 64")</f>
        <v>LUBLIN - STH 64</v>
      </c>
      <c r="F2496" s="3" t="str">
        <f>CLEAN("N FORK EAU CLAIRE RVR BR P-60-0953")</f>
        <v>N FORK EAU CLAIRE RVR BR P-60-0953</v>
      </c>
      <c r="G2496" s="3" t="str">
        <f>CLEAN("DESIGN - FULL PS&amp;E BRRPL")</f>
        <v>DESIGN - FULL PS&amp;E BRRPL</v>
      </c>
      <c r="H2496" s="2" t="str">
        <f>CLEAN("CTH F")</f>
        <v>CTH F</v>
      </c>
      <c r="I2496" s="2" t="str">
        <f>CLEAN("205")</f>
        <v>205</v>
      </c>
    </row>
    <row r="2497" spans="1:9" x14ac:dyDescent="0.35">
      <c r="A2497" s="2" t="str">
        <f t="shared" si="392"/>
        <v>TAYLOR</v>
      </c>
      <c r="B2497" s="2" t="str">
        <f t="shared" si="393"/>
        <v>TAYLOR COUNTY</v>
      </c>
      <c r="C2497" s="2" t="s">
        <v>1195</v>
      </c>
      <c r="D2497" s="2" t="str">
        <f>CLEAN("8885-03-70")</f>
        <v>8885-03-70</v>
      </c>
      <c r="E2497" s="3" t="str">
        <f>CLEAN("LUBLIN - STH 64")</f>
        <v>LUBLIN - STH 64</v>
      </c>
      <c r="F2497" s="3" t="str">
        <f>CLEAN("N FORK EAU CLAIRE RVR BR B-60-0155")</f>
        <v>N FORK EAU CLAIRE RVR BR B-60-0155</v>
      </c>
      <c r="G2497" s="3" t="str">
        <f>CLEAN("CONSTRUCTION/BRIDGE REPLACEMENT")</f>
        <v>CONSTRUCTION/BRIDGE REPLACEMENT</v>
      </c>
      <c r="H2497" s="2" t="str">
        <f>CLEAN("CTH F")</f>
        <v>CTH F</v>
      </c>
      <c r="I2497" s="2" t="str">
        <f>CLEAN("205")</f>
        <v>205</v>
      </c>
    </row>
    <row r="2498" spans="1:9" x14ac:dyDescent="0.35">
      <c r="A2498" s="2" t="str">
        <f t="shared" si="392"/>
        <v>TAYLOR</v>
      </c>
      <c r="B2498" s="2" t="str">
        <f t="shared" si="393"/>
        <v>TAYLOR COUNTY</v>
      </c>
      <c r="C2498" s="2" t="s">
        <v>3112</v>
      </c>
      <c r="D2498" s="2" t="str">
        <f>CLEAN("8887-03-51")</f>
        <v>8887-03-51</v>
      </c>
      <c r="E2498" s="3" t="str">
        <f>CLEAN("LUBLIN - STETSONVILLE")</f>
        <v>LUBLIN - STETSONVILLE</v>
      </c>
      <c r="F2498" s="3" t="str">
        <f>CLEAN("FVLS XING 699475A")</f>
        <v>FVLS XING 699475A</v>
      </c>
      <c r="G2498" s="3" t="str">
        <f>CLEAN("R/R OPS/RR XING SURFACE/8887-03-72")</f>
        <v>R/R OPS/RR XING SURFACE/8887-03-72</v>
      </c>
      <c r="H2498" s="2" t="str">
        <f>CLEAN("CTH A")</f>
        <v>CTH A</v>
      </c>
      <c r="I2498" s="2" t="str">
        <f>CLEAN("206")</f>
        <v>206</v>
      </c>
    </row>
    <row r="2499" spans="1:9" x14ac:dyDescent="0.35">
      <c r="A2499" s="2" t="str">
        <f t="shared" si="392"/>
        <v>TAYLOR</v>
      </c>
      <c r="B2499" s="2" t="str">
        <f t="shared" si="393"/>
        <v>TAYLOR COUNTY</v>
      </c>
      <c r="C2499" s="2" t="s">
        <v>1200</v>
      </c>
      <c r="D2499" s="2" t="str">
        <f>CLEAN("8887-03-76")</f>
        <v>8887-03-76</v>
      </c>
      <c r="E2499" s="3" t="str">
        <f>CLEAN("LUBLIN - STETSONVILLE")</f>
        <v>LUBLIN - STETSONVILLE</v>
      </c>
      <c r="F2499" s="3" t="str">
        <f>CLEAN("PINE CREEK BRIDGE B-60-0157")</f>
        <v>PINE CREEK BRIDGE B-60-0157</v>
      </c>
      <c r="G2499" s="3" t="str">
        <f>CLEAN("CONSTRUCTION/BRIDGE REPLACEMENT")</f>
        <v>CONSTRUCTION/BRIDGE REPLACEMENT</v>
      </c>
      <c r="H2499" s="2" t="str">
        <f>CLEAN("CTH A")</f>
        <v>CTH A</v>
      </c>
      <c r="I2499" s="2" t="str">
        <f>CLEAN("205")</f>
        <v>205</v>
      </c>
    </row>
    <row r="2500" spans="1:9" x14ac:dyDescent="0.35">
      <c r="A2500" s="2" t="str">
        <f t="shared" si="392"/>
        <v>TAYLOR</v>
      </c>
      <c r="B2500" s="2" t="str">
        <f t="shared" si="393"/>
        <v>TAYLOR COUNTY</v>
      </c>
      <c r="C2500" s="2" t="s">
        <v>1326</v>
      </c>
      <c r="D2500" s="2" t="str">
        <f>CLEAN("8888-08-76")</f>
        <v>8888-08-76</v>
      </c>
      <c r="E2500" s="3" t="str">
        <f>CLEAN("STH 64 - ECL")</f>
        <v>STH 64 - ECL</v>
      </c>
      <c r="F2500" s="3" t="str">
        <f>CLEAN("GIBSON STREET TO STH 13")</f>
        <v>GIBSON STREET TO STH 13</v>
      </c>
      <c r="G2500" s="3" t="str">
        <f>CLEAN("CONSTRUCTION/RECONSTRUCTION")</f>
        <v>CONSTRUCTION/RECONSTRUCTION</v>
      </c>
      <c r="H2500" s="2" t="str">
        <f>CLEAN("CTH O")</f>
        <v>CTH O</v>
      </c>
      <c r="I2500" s="2" t="str">
        <f>CLEAN("206")</f>
        <v>206</v>
      </c>
    </row>
    <row r="2501" spans="1:9" x14ac:dyDescent="0.35">
      <c r="A2501" s="2" t="str">
        <f t="shared" si="392"/>
        <v>TAYLOR</v>
      </c>
      <c r="B2501" s="2" t="str">
        <f t="shared" si="393"/>
        <v>TAYLOR COUNTY</v>
      </c>
      <c r="C2501" s="2" t="s">
        <v>1510</v>
      </c>
      <c r="D2501" s="2" t="str">
        <f>CLEAN("8890-00-04")</f>
        <v>8890-00-04</v>
      </c>
      <c r="E2501" s="3" t="str">
        <f>CLEAN("STETSONVILLE - STH 64")</f>
        <v>STETSONVILLE - STH 64</v>
      </c>
      <c r="F2501" s="3" t="str">
        <f>CLEAN("CTH O TO STH 64")</f>
        <v>CTH O TO STH 64</v>
      </c>
      <c r="G2501" s="3" t="str">
        <f>CLEAN("DESIGN - FULL PS&amp;E PVRPLA")</f>
        <v>DESIGN - FULL PS&amp;E PVRPLA</v>
      </c>
      <c r="H2501" s="2" t="str">
        <f>CLEAN("CTH Q")</f>
        <v>CTH Q</v>
      </c>
      <c r="I2501" s="2" t="str">
        <f>CLEAN("206")</f>
        <v>206</v>
      </c>
    </row>
    <row r="2502" spans="1:9" x14ac:dyDescent="0.35">
      <c r="A2502" s="2" t="str">
        <f t="shared" si="392"/>
        <v>TAYLOR</v>
      </c>
      <c r="B2502" s="2" t="str">
        <f t="shared" si="393"/>
        <v>TAYLOR COUNTY</v>
      </c>
      <c r="C2502" s="2" t="s">
        <v>1305</v>
      </c>
      <c r="D2502" s="2" t="str">
        <f>CLEAN("8890-00-74")</f>
        <v>8890-00-74</v>
      </c>
      <c r="E2502" s="3" t="str">
        <f>CLEAN("STETSONVILLE - STH 64")</f>
        <v>STETSONVILLE - STH 64</v>
      </c>
      <c r="F2502" s="3" t="str">
        <f>CLEAN("CTH O TO STH 64")</f>
        <v>CTH O TO STH 64</v>
      </c>
      <c r="G2502" s="3" t="str">
        <f>CLEAN("CONSTRUCTION/PVRPLA")</f>
        <v>CONSTRUCTION/PVRPLA</v>
      </c>
      <c r="H2502" s="2" t="str">
        <f>CLEAN("CTH Q")</f>
        <v>CTH Q</v>
      </c>
      <c r="I2502" s="2" t="str">
        <f>CLEAN("206")</f>
        <v>206</v>
      </c>
    </row>
    <row r="2503" spans="1:9" x14ac:dyDescent="0.35">
      <c r="A2503" s="2" t="str">
        <f t="shared" si="392"/>
        <v>TAYLOR</v>
      </c>
      <c r="B2503" s="2" t="str">
        <f t="shared" si="393"/>
        <v>TAYLOR COUNTY</v>
      </c>
      <c r="C2503" s="2" t="s">
        <v>1216</v>
      </c>
      <c r="D2503" s="2" t="str">
        <f>CLEAN("8896-05-74")</f>
        <v>8896-05-74</v>
      </c>
      <c r="E2503" s="3" t="str">
        <f>CLEAN("STH 73 - PERKINSTOWN")</f>
        <v>STH 73 - PERKINSTOWN</v>
      </c>
      <c r="F2503" s="3" t="str">
        <f>CLEAN("YELLOW RIVER BRIDGE B-60-0146")</f>
        <v>YELLOW RIVER BRIDGE B-60-0146</v>
      </c>
      <c r="G2503" s="3" t="str">
        <f>CLEAN("CONSTRUCTION/BRIDGE RREPLACEMENT")</f>
        <v>CONSTRUCTION/BRIDGE RREPLACEMENT</v>
      </c>
      <c r="H2503" s="2" t="str">
        <f>CLEAN("CTH M")</f>
        <v>CTH M</v>
      </c>
      <c r="I2503" s="2" t="str">
        <f t="shared" ref="I2503:I2518" si="394">CLEAN("205")</f>
        <v>205</v>
      </c>
    </row>
    <row r="2504" spans="1:9" x14ac:dyDescent="0.35">
      <c r="A2504" s="2" t="str">
        <f t="shared" si="392"/>
        <v>TAYLOR</v>
      </c>
      <c r="B2504" s="2" t="str">
        <f t="shared" si="393"/>
        <v>TAYLOR COUNTY</v>
      </c>
      <c r="C2504" s="2" t="s">
        <v>1596</v>
      </c>
      <c r="D2504" s="2" t="str">
        <f>CLEAN("9545-00-02")</f>
        <v>9545-00-02</v>
      </c>
      <c r="E2504" s="3" t="str">
        <f>CLEAN("V RIB LAKE  STATE ROAD")</f>
        <v>V RIB LAKE  STATE ROAD</v>
      </c>
      <c r="F2504" s="3" t="str">
        <f>CLEAN("LITTLE RIB RIVER BRIDGE P-60-0702")</f>
        <v>LITTLE RIB RIVER BRIDGE P-60-0702</v>
      </c>
      <c r="G2504" s="3" t="str">
        <f>CLEAN("DESIGN - FULL PS&amp;E/BRRPL")</f>
        <v>DESIGN - FULL PS&amp;E/BRRPL</v>
      </c>
      <c r="H2504" s="2" t="str">
        <f>CLEAN("LOC STR")</f>
        <v>LOC STR</v>
      </c>
      <c r="I2504" s="2" t="str">
        <f t="shared" si="394"/>
        <v>205</v>
      </c>
    </row>
    <row r="2505" spans="1:9" x14ac:dyDescent="0.35">
      <c r="A2505" s="2" t="str">
        <f t="shared" si="392"/>
        <v>TAYLOR</v>
      </c>
      <c r="B2505" s="2" t="str">
        <f t="shared" si="393"/>
        <v>TAYLOR COUNTY</v>
      </c>
      <c r="C2505" s="2" t="s">
        <v>1228</v>
      </c>
      <c r="D2505" s="2" t="str">
        <f>CLEAN("9545-00-72")</f>
        <v>9545-00-72</v>
      </c>
      <c r="E2505" s="3" t="str">
        <f>CLEAN("V RIB LAKE  STATE ROAD")</f>
        <v>V RIB LAKE  STATE ROAD</v>
      </c>
      <c r="F2505" s="3" t="str">
        <f>CLEAN("B-60-0181")</f>
        <v>B-60-0181</v>
      </c>
      <c r="G2505" s="3" t="str">
        <f>CLEAN("CONSTRUCTION/BRRPL")</f>
        <v>CONSTRUCTION/BRRPL</v>
      </c>
      <c r="H2505" s="2" t="str">
        <f>CLEAN("LOC STR")</f>
        <v>LOC STR</v>
      </c>
      <c r="I2505" s="2" t="str">
        <f t="shared" si="394"/>
        <v>205</v>
      </c>
    </row>
    <row r="2506" spans="1:9" x14ac:dyDescent="0.35">
      <c r="A2506" s="2" t="str">
        <f t="shared" si="392"/>
        <v>TAYLOR</v>
      </c>
      <c r="B2506" s="2" t="str">
        <f t="shared" si="393"/>
        <v>TAYLOR COUNTY</v>
      </c>
      <c r="C2506" s="2" t="s">
        <v>1561</v>
      </c>
      <c r="D2506" s="2" t="str">
        <f>CLEAN("9547-03-00")</f>
        <v>9547-03-00</v>
      </c>
      <c r="E2506" s="3" t="str">
        <f>CLEAN("STH 13 - ECL")</f>
        <v>STH 13 - ECL</v>
      </c>
      <c r="F2506" s="3" t="str">
        <f>CLEAN("LITTLE BLACK RIVER BRIDGE B-60-0031")</f>
        <v>LITTLE BLACK RIVER BRIDGE B-60-0031</v>
      </c>
      <c r="G2506" s="3" t="str">
        <f>CLEAN("DESIGN - FULL PS&amp;E/BRRHB")</f>
        <v>DESIGN - FULL PS&amp;E/BRRHB</v>
      </c>
      <c r="H2506" s="2" t="str">
        <f>CLEAN("CTH O")</f>
        <v>CTH O</v>
      </c>
      <c r="I2506" s="2" t="str">
        <f t="shared" si="394"/>
        <v>205</v>
      </c>
    </row>
    <row r="2507" spans="1:9" x14ac:dyDescent="0.35">
      <c r="A2507" s="2" t="str">
        <f t="shared" si="392"/>
        <v>TAYLOR</v>
      </c>
      <c r="B2507" s="2" t="str">
        <f t="shared" si="393"/>
        <v>TAYLOR COUNTY</v>
      </c>
      <c r="C2507" s="2" t="s">
        <v>1220</v>
      </c>
      <c r="D2507" s="2" t="str">
        <f>CLEAN("9547-03-70")</f>
        <v>9547-03-70</v>
      </c>
      <c r="E2507" s="3" t="str">
        <f>CLEAN("STH 13 - ECL")</f>
        <v>STH 13 - ECL</v>
      </c>
      <c r="F2507" s="3" t="str">
        <f>CLEAN("LITTLE BLACK RIVER BRIDGE B-60-0031")</f>
        <v>LITTLE BLACK RIVER BRIDGE B-60-0031</v>
      </c>
      <c r="G2507" s="3" t="str">
        <f>CLEAN("CONSTRUCTION/BRRHB")</f>
        <v>CONSTRUCTION/BRRHB</v>
      </c>
      <c r="H2507" s="2" t="str">
        <f>CLEAN("CTH O")</f>
        <v>CTH O</v>
      </c>
      <c r="I2507" s="2" t="str">
        <f t="shared" si="394"/>
        <v>205</v>
      </c>
    </row>
    <row r="2508" spans="1:9" x14ac:dyDescent="0.35">
      <c r="A2508" s="2" t="str">
        <f t="shared" si="392"/>
        <v>TAYLOR</v>
      </c>
      <c r="B2508" s="2" t="str">
        <f t="shared" si="393"/>
        <v>TAYLOR COUNTY</v>
      </c>
      <c r="C2508" s="2" t="s">
        <v>2324</v>
      </c>
      <c r="D2508" s="2" t="str">
        <f>CLEAN("9549-00-00")</f>
        <v>9549-00-00</v>
      </c>
      <c r="E2508" s="3" t="str">
        <f>CLEAN("T DEER CREEK  ELM AVENUE")</f>
        <v>T DEER CREEK  ELM AVENUE</v>
      </c>
      <c r="F2508" s="3" t="str">
        <f>CLEAN("DEER CREEK BRIDGE  P-60-0170")</f>
        <v>DEER CREEK BRIDGE  P-60-0170</v>
      </c>
      <c r="G2508" s="3" t="str">
        <f>CLEAN("DESIGN-FULL PS&amp;E/BRIDGE REPLACEMENT")</f>
        <v>DESIGN-FULL PS&amp;E/BRIDGE REPLACEMENT</v>
      </c>
      <c r="H2508" s="2" t="str">
        <f t="shared" ref="H2508:H2518" si="395">CLEAN("LOC STR")</f>
        <v>LOC STR</v>
      </c>
      <c r="I2508" s="2" t="str">
        <f t="shared" si="394"/>
        <v>205</v>
      </c>
    </row>
    <row r="2509" spans="1:9" x14ac:dyDescent="0.35">
      <c r="A2509" s="2" t="str">
        <f t="shared" si="392"/>
        <v>TAYLOR</v>
      </c>
      <c r="B2509" s="2" t="str">
        <f t="shared" si="393"/>
        <v>TAYLOR COUNTY</v>
      </c>
      <c r="C2509" s="2" t="s">
        <v>2326</v>
      </c>
      <c r="D2509" s="2" t="str">
        <f>CLEAN("9549-00-01")</f>
        <v>9549-00-01</v>
      </c>
      <c r="E2509" s="3" t="str">
        <f>CLEAN("T DEER CREEK  ROBIN DRIVE")</f>
        <v>T DEER CREEK  ROBIN DRIVE</v>
      </c>
      <c r="F2509" s="3" t="str">
        <f>CLEAN("DEER CREEK BRIDGE P-60-0915")</f>
        <v>DEER CREEK BRIDGE P-60-0915</v>
      </c>
      <c r="G2509" s="3" t="str">
        <f>CLEAN("DESIGN-FULL PS&amp;E/BRIDGE REPLACEMENT")</f>
        <v>DESIGN-FULL PS&amp;E/BRIDGE REPLACEMENT</v>
      </c>
      <c r="H2509" s="2" t="str">
        <f t="shared" si="395"/>
        <v>LOC STR</v>
      </c>
      <c r="I2509" s="2" t="str">
        <f t="shared" si="394"/>
        <v>205</v>
      </c>
    </row>
    <row r="2510" spans="1:9" x14ac:dyDescent="0.35">
      <c r="A2510" s="2" t="str">
        <f t="shared" si="392"/>
        <v>TAYLOR</v>
      </c>
      <c r="B2510" s="2" t="str">
        <f t="shared" si="393"/>
        <v>TAYLOR COUNTY</v>
      </c>
      <c r="C2510" s="2" t="s">
        <v>2331</v>
      </c>
      <c r="D2510" s="2" t="str">
        <f>CLEAN("9549-00-02")</f>
        <v>9549-00-02</v>
      </c>
      <c r="E2510" s="3" t="str">
        <f>CLEAN("T DEER CREEK  ELM AVENUE (2)")</f>
        <v>T DEER CREEK  ELM AVENUE (2)</v>
      </c>
      <c r="F2510" s="3" t="str">
        <f>CLEAN("W BR BIG EAU PLEINE RVR BR P600169")</f>
        <v>W BR BIG EAU PLEINE RVR BR P600169</v>
      </c>
      <c r="G2510" s="3" t="str">
        <f>CLEAN("DESIGN-FULL PS&amp;E/BRIDGE REPLACEMENT")</f>
        <v>DESIGN-FULL PS&amp;E/BRIDGE REPLACEMENT</v>
      </c>
      <c r="H2510" s="2" t="str">
        <f t="shared" si="395"/>
        <v>LOC STR</v>
      </c>
      <c r="I2510" s="2" t="str">
        <f t="shared" si="394"/>
        <v>205</v>
      </c>
    </row>
    <row r="2511" spans="1:9" x14ac:dyDescent="0.35">
      <c r="A2511" s="2" t="str">
        <f t="shared" si="392"/>
        <v>TAYLOR</v>
      </c>
      <c r="B2511" s="2" t="str">
        <f t="shared" si="393"/>
        <v>TAYLOR COUNTY</v>
      </c>
      <c r="C2511" s="2" t="s">
        <v>2325</v>
      </c>
      <c r="D2511" s="2" t="str">
        <f>CLEAN("9549-00-03")</f>
        <v>9549-00-03</v>
      </c>
      <c r="E2511" s="3" t="str">
        <f>CLEAN("T DEER CREEK  ELM AVENUE (3)")</f>
        <v>T DEER CREEK  ELM AVENUE (3)</v>
      </c>
      <c r="F2511" s="3" t="str">
        <f>CLEAN("DEER CREEK BRIDGE P-60-0915")</f>
        <v>DEER CREEK BRIDGE P-60-0915</v>
      </c>
      <c r="G2511" s="3" t="str">
        <f>CLEAN("DESIGN-FULL PS&amp;E/BRIDGE REPLACEMENT")</f>
        <v>DESIGN-FULL PS&amp;E/BRIDGE REPLACEMENT</v>
      </c>
      <c r="H2511" s="2" t="str">
        <f t="shared" si="395"/>
        <v>LOC STR</v>
      </c>
      <c r="I2511" s="2" t="str">
        <f t="shared" si="394"/>
        <v>205</v>
      </c>
    </row>
    <row r="2512" spans="1:9" x14ac:dyDescent="0.35">
      <c r="A2512" s="2" t="str">
        <f t="shared" si="392"/>
        <v>TAYLOR</v>
      </c>
      <c r="B2512" s="2" t="str">
        <f t="shared" si="393"/>
        <v>TAYLOR COUNTY</v>
      </c>
      <c r="C2512" s="2" t="s">
        <v>1171</v>
      </c>
      <c r="D2512" s="2" t="str">
        <f>CLEAN("9549-00-70")</f>
        <v>9549-00-70</v>
      </c>
      <c r="E2512" s="3" t="str">
        <f>CLEAN("T DEER CREEK  ELM AVENUE (1)")</f>
        <v>T DEER CREEK  ELM AVENUE (1)</v>
      </c>
      <c r="F2512" s="3" t="str">
        <f>CLEAN("DEER CREEK BRIDGE B-60-0162")</f>
        <v>DEER CREEK BRIDGE B-60-0162</v>
      </c>
      <c r="G2512" s="3" t="str">
        <f>CLEAN("CONSTRUCTION/BRIDGE REPLACEMENT")</f>
        <v>CONSTRUCTION/BRIDGE REPLACEMENT</v>
      </c>
      <c r="H2512" s="2" t="str">
        <f t="shared" si="395"/>
        <v>LOC STR</v>
      </c>
      <c r="I2512" s="2" t="str">
        <f t="shared" si="394"/>
        <v>205</v>
      </c>
    </row>
    <row r="2513" spans="1:9" x14ac:dyDescent="0.35">
      <c r="A2513" s="2" t="str">
        <f t="shared" si="392"/>
        <v>TAYLOR</v>
      </c>
      <c r="B2513" s="2" t="str">
        <f t="shared" si="393"/>
        <v>TAYLOR COUNTY</v>
      </c>
      <c r="C2513" s="2" t="s">
        <v>1170</v>
      </c>
      <c r="D2513" s="2" t="str">
        <f>CLEAN("9549-00-71")</f>
        <v>9549-00-71</v>
      </c>
      <c r="E2513" s="3" t="str">
        <f>CLEAN("T DEER CREEK  ROBIN DRIVE")</f>
        <v>T DEER CREEK  ROBIN DRIVE</v>
      </c>
      <c r="F2513" s="3" t="str">
        <f>CLEAN("DEER CREEK BRIDGE B-60-0161")</f>
        <v>DEER CREEK BRIDGE B-60-0161</v>
      </c>
      <c r="G2513" s="3" t="str">
        <f>CLEAN("CONSTRUCTION/BRIDGE REPLACEMENT")</f>
        <v>CONSTRUCTION/BRIDGE REPLACEMENT</v>
      </c>
      <c r="H2513" s="2" t="str">
        <f t="shared" si="395"/>
        <v>LOC STR</v>
      </c>
      <c r="I2513" s="2" t="str">
        <f t="shared" si="394"/>
        <v>205</v>
      </c>
    </row>
    <row r="2514" spans="1:9" x14ac:dyDescent="0.35">
      <c r="A2514" s="2" t="str">
        <f t="shared" si="392"/>
        <v>TAYLOR</v>
      </c>
      <c r="B2514" s="2" t="str">
        <f t="shared" si="393"/>
        <v>TAYLOR COUNTY</v>
      </c>
      <c r="C2514" s="2" t="s">
        <v>1210</v>
      </c>
      <c r="D2514" s="2" t="str">
        <f>CLEAN("9549-00-72")</f>
        <v>9549-00-72</v>
      </c>
      <c r="E2514" s="3" t="str">
        <f>CLEAN("T DEER CREEK  ELM AVENUE (2)")</f>
        <v>T DEER CREEK  ELM AVENUE (2)</v>
      </c>
      <c r="F2514" s="3" t="str">
        <f>CLEAN("W BR BIG EAU PLEINE RVR BR B600159")</f>
        <v>W BR BIG EAU PLEINE RVR BR B600159</v>
      </c>
      <c r="G2514" s="3" t="str">
        <f>CLEAN("CONSTRUCTION/BRIDGE REPLACEMENT")</f>
        <v>CONSTRUCTION/BRIDGE REPLACEMENT</v>
      </c>
      <c r="H2514" s="2" t="str">
        <f t="shared" si="395"/>
        <v>LOC STR</v>
      </c>
      <c r="I2514" s="2" t="str">
        <f t="shared" si="394"/>
        <v>205</v>
      </c>
    </row>
    <row r="2515" spans="1:9" x14ac:dyDescent="0.35">
      <c r="A2515" s="2" t="str">
        <f t="shared" si="392"/>
        <v>TAYLOR</v>
      </c>
      <c r="B2515" s="2" t="str">
        <f t="shared" si="393"/>
        <v>TAYLOR COUNTY</v>
      </c>
      <c r="C2515" s="2" t="s">
        <v>1169</v>
      </c>
      <c r="D2515" s="2" t="str">
        <f>CLEAN("9549-00-73")</f>
        <v>9549-00-73</v>
      </c>
      <c r="E2515" s="3" t="str">
        <f>CLEAN("T DEER CREEK  ELM AVENUE (3)")</f>
        <v>T DEER CREEK  ELM AVENUE (3)</v>
      </c>
      <c r="F2515" s="3" t="str">
        <f>CLEAN("DEER CREEK BRIDGE B-60-0160")</f>
        <v>DEER CREEK BRIDGE B-60-0160</v>
      </c>
      <c r="G2515" s="3" t="str">
        <f>CLEAN("CONSTRUCTION/BRIDGE REPLACEMENT")</f>
        <v>CONSTRUCTION/BRIDGE REPLACEMENT</v>
      </c>
      <c r="H2515" s="2" t="str">
        <f t="shared" si="395"/>
        <v>LOC STR</v>
      </c>
      <c r="I2515" s="2" t="str">
        <f t="shared" si="394"/>
        <v>205</v>
      </c>
    </row>
    <row r="2516" spans="1:9" x14ac:dyDescent="0.35">
      <c r="A2516" s="2" t="str">
        <f>CLEAN("LANGLADE")</f>
        <v>LANGLADE</v>
      </c>
      <c r="B2516" s="2" t="str">
        <f>CLEAN("TOWN OF ACKLEY")</f>
        <v>TOWN OF ACKLEY</v>
      </c>
      <c r="C2516" s="2" t="s">
        <v>1956</v>
      </c>
      <c r="D2516" s="2" t="str">
        <f>CLEAN("9833-03-02")</f>
        <v>9833-03-02</v>
      </c>
      <c r="E2516" s="3" t="str">
        <f>CLEAN("T ACKLEY  RANGE LINE ROAD")</f>
        <v>T ACKLEY  RANGE LINE ROAD</v>
      </c>
      <c r="F2516" s="3" t="str">
        <f>CLEAN("BLACK BROOK BRIDGE  P-34-0917")</f>
        <v>BLACK BROOK BRIDGE  P-34-0917</v>
      </c>
      <c r="G2516" s="3" t="str">
        <f>CLEAN("DESIGN/FULL PSE/REPLACEMENT")</f>
        <v>DESIGN/FULL PSE/REPLACEMENT</v>
      </c>
      <c r="H2516" s="2" t="str">
        <f t="shared" si="395"/>
        <v>LOC STR</v>
      </c>
      <c r="I2516" s="2" t="str">
        <f t="shared" si="394"/>
        <v>205</v>
      </c>
    </row>
    <row r="2517" spans="1:9" x14ac:dyDescent="0.35">
      <c r="A2517" s="2" t="str">
        <f>CLEAN("LANGLADE")</f>
        <v>LANGLADE</v>
      </c>
      <c r="B2517" s="2" t="str">
        <f>CLEAN("TOWN OF ACKLEY")</f>
        <v>TOWN OF ACKLEY</v>
      </c>
      <c r="C2517" s="2" t="s">
        <v>882</v>
      </c>
      <c r="D2517" s="2" t="str">
        <f>CLEAN("9833-03-72")</f>
        <v>9833-03-72</v>
      </c>
      <c r="E2517" s="3" t="str">
        <f>CLEAN("T ACKLEY  RANGE LINE ROAD")</f>
        <v>T ACKLEY  RANGE LINE ROAD</v>
      </c>
      <c r="F2517" s="3" t="str">
        <f>CLEAN("BLACK BROOK BRIDGE  B-34-0066")</f>
        <v>BLACK BROOK BRIDGE  B-34-0066</v>
      </c>
      <c r="G2517" s="3" t="str">
        <f>CLEAN("CONST/REPLACEMENT")</f>
        <v>CONST/REPLACEMENT</v>
      </c>
      <c r="H2517" s="2" t="str">
        <f t="shared" si="395"/>
        <v>LOC STR</v>
      </c>
      <c r="I2517" s="2" t="str">
        <f t="shared" si="394"/>
        <v>205</v>
      </c>
    </row>
    <row r="2518" spans="1:9" x14ac:dyDescent="0.35">
      <c r="A2518" s="2" t="str">
        <f>CLEAN("JACKSON")</f>
        <v>JACKSON</v>
      </c>
      <c r="B2518" s="2" t="str">
        <f>CLEAN("TOWN OF ADAMS")</f>
        <v>TOWN OF ADAMS</v>
      </c>
      <c r="C2518" s="2" t="s">
        <v>1572</v>
      </c>
      <c r="D2518" s="2" t="str">
        <f>CLEAN("7239-00-01")</f>
        <v>7239-00-01</v>
      </c>
      <c r="E2518" s="3" t="str">
        <f>CLEAN("T ADAMS  MCNULTY ROAD")</f>
        <v>T ADAMS  MCNULTY ROAD</v>
      </c>
      <c r="F2518" s="3" t="str">
        <f>CLEAN("BR TOWN CREEK BRIDGE P-27-0109")</f>
        <v>BR TOWN CREEK BRIDGE P-27-0109</v>
      </c>
      <c r="G2518" s="3" t="str">
        <f>CLEAN("DESIGN - FULL PS&amp;E/BRRPL")</f>
        <v>DESIGN - FULL PS&amp;E/BRRPL</v>
      </c>
      <c r="H2518" s="2" t="str">
        <f t="shared" si="395"/>
        <v>LOC STR</v>
      </c>
      <c r="I2518" s="2" t="str">
        <f t="shared" si="394"/>
        <v>205</v>
      </c>
    </row>
    <row r="2519" spans="1:9" x14ac:dyDescent="0.35">
      <c r="A2519" s="2" t="str">
        <f>CLEAN("PORTAGE")</f>
        <v>PORTAGE</v>
      </c>
      <c r="B2519" s="2" t="str">
        <f>CLEAN("TOWN OF ALBAN")</f>
        <v>TOWN OF ALBAN</v>
      </c>
      <c r="C2519" s="2" t="s">
        <v>1130</v>
      </c>
      <c r="D2519" s="2" t="str">
        <f>CLEAN("6280-00-60")</f>
        <v>6280-00-60</v>
      </c>
      <c r="E2519" s="3" t="str">
        <f>CLEAN("STEVENS POINT - ROSHOLT")</f>
        <v>STEVENS POINT - ROSHOLT</v>
      </c>
      <c r="F2519" s="3" t="str">
        <f>CLEAN("NORTH CTH J TO STH 49")</f>
        <v>NORTH CTH J TO STH 49</v>
      </c>
      <c r="G2519" s="3" t="str">
        <f>CLEAN("CONSTR/PM APPROVED 6.6.16")</f>
        <v>CONSTR/PM APPROVED 6.6.16</v>
      </c>
      <c r="H2519" s="2" t="str">
        <f>CLEAN("STH 066")</f>
        <v>STH 066</v>
      </c>
      <c r="I2519" s="2" t="str">
        <f>CLEAN("303")</f>
        <v>303</v>
      </c>
    </row>
    <row r="2520" spans="1:9" x14ac:dyDescent="0.35">
      <c r="A2520" s="2" t="str">
        <f>CLEAN("DANE")</f>
        <v>DANE</v>
      </c>
      <c r="B2520" s="2" t="str">
        <f>CLEAN("TOWN OF ALBION")</f>
        <v>TOWN OF ALBION</v>
      </c>
      <c r="C2520" s="2" t="s">
        <v>1787</v>
      </c>
      <c r="D2520" s="2" t="str">
        <f>CLEAN("3622-00-08")</f>
        <v>3622-00-08</v>
      </c>
      <c r="E2520" s="3" t="str">
        <f>CLEAN("TOWN OF ALBION  AARBARK ROAD")</f>
        <v>TOWN OF ALBION  AARBARK ROAD</v>
      </c>
      <c r="F2520" s="3" t="str">
        <f>CLEAN("KOSHKONONG CREEK BRIDGE  B-13-0045")</f>
        <v>KOSHKONONG CREEK BRIDGE  B-13-0045</v>
      </c>
      <c r="G2520" s="3" t="str">
        <f>CLEAN("DESIGN/BRIDGE REPLACEMENT")</f>
        <v>DESIGN/BRIDGE REPLACEMENT</v>
      </c>
      <c r="H2520" s="2" t="str">
        <f>CLEAN("LOC STR")</f>
        <v>LOC STR</v>
      </c>
      <c r="I2520" s="2" t="str">
        <f>CLEAN("205")</f>
        <v>205</v>
      </c>
    </row>
    <row r="2521" spans="1:9" x14ac:dyDescent="0.35">
      <c r="A2521" s="2" t="str">
        <f>CLEAN("DANE")</f>
        <v>DANE</v>
      </c>
      <c r="B2521" s="2" t="str">
        <f>CLEAN("TOWN OF ALBION")</f>
        <v>TOWN OF ALBION</v>
      </c>
      <c r="C2521" s="2" t="s">
        <v>101</v>
      </c>
      <c r="D2521" s="2" t="str">
        <f>CLEAN("3622-00-78")</f>
        <v>3622-00-78</v>
      </c>
      <c r="E2521" s="3" t="str">
        <f>CLEAN("TOWN OF ALBION  AARBACK ROAD")</f>
        <v>TOWN OF ALBION  AARBACK ROAD</v>
      </c>
      <c r="F2521" s="3" t="str">
        <f>CLEAN("KOSHKONONG CREEK BRIDGE  B-13-0693")</f>
        <v>KOSHKONONG CREEK BRIDGE  B-13-0693</v>
      </c>
      <c r="G2521" s="3" t="str">
        <f>CLEAN("CONST OPS/BRIDGE REPLACEMENT")</f>
        <v>CONST OPS/BRIDGE REPLACEMENT</v>
      </c>
      <c r="H2521" s="2" t="str">
        <f>CLEAN("LOC STR")</f>
        <v>LOC STR</v>
      </c>
      <c r="I2521" s="2" t="str">
        <f>CLEAN("205")</f>
        <v>205</v>
      </c>
    </row>
    <row r="2522" spans="1:9" x14ac:dyDescent="0.35">
      <c r="A2522" s="2" t="str">
        <f>CLEAN("JACKSON")</f>
        <v>JACKSON</v>
      </c>
      <c r="B2522" s="2" t="str">
        <f>CLEAN("TOWN OF ALBION")</f>
        <v>TOWN OF ALBION</v>
      </c>
      <c r="C2522" s="2" t="s">
        <v>1615</v>
      </c>
      <c r="D2522" s="2" t="str">
        <f>CLEAN("7240-00-00")</f>
        <v>7240-00-00</v>
      </c>
      <c r="E2522" s="3" t="str">
        <f>CLEAN("T ALBION  OLD HWY 54 RD")</f>
        <v>T ALBION  OLD HWY 54 RD</v>
      </c>
      <c r="F2522" s="3" t="str">
        <f>CLEAN("SPRING CREEK BRIDGE P-27-0023")</f>
        <v>SPRING CREEK BRIDGE P-27-0023</v>
      </c>
      <c r="G2522" s="3" t="str">
        <f>CLEAN("DESIGN - FULL PS&amp;E/BRRPL")</f>
        <v>DESIGN - FULL PS&amp;E/BRRPL</v>
      </c>
      <c r="H2522" s="2" t="str">
        <f>CLEAN("LOC STR")</f>
        <v>LOC STR</v>
      </c>
      <c r="I2522" s="2" t="str">
        <f>CLEAN("205")</f>
        <v>205</v>
      </c>
    </row>
    <row r="2523" spans="1:9" x14ac:dyDescent="0.35">
      <c r="A2523" s="2" t="str">
        <f>CLEAN("JACKSON")</f>
        <v>JACKSON</v>
      </c>
      <c r="B2523" s="2" t="str">
        <f>CLEAN("TOWN OF ALBION")</f>
        <v>TOWN OF ALBION</v>
      </c>
      <c r="C2523" s="2" t="s">
        <v>1272</v>
      </c>
      <c r="D2523" s="2" t="str">
        <f>CLEAN("7240-00-70")</f>
        <v>7240-00-70</v>
      </c>
      <c r="E2523" s="3" t="str">
        <f>CLEAN("T ALBION  OLD HWY 54 RD")</f>
        <v>T ALBION  OLD HWY 54 RD</v>
      </c>
      <c r="F2523" s="3" t="str">
        <f>CLEAN("SPRING CREEK BRIDGE B-27-0183")</f>
        <v>SPRING CREEK BRIDGE B-27-0183</v>
      </c>
      <c r="G2523" s="3" t="str">
        <f>CLEAN("CONSTRUCTION/BRRPL")</f>
        <v>CONSTRUCTION/BRRPL</v>
      </c>
      <c r="H2523" s="2" t="str">
        <f>CLEAN("LOC STR")</f>
        <v>LOC STR</v>
      </c>
      <c r="I2523" s="2" t="str">
        <f>CLEAN("205")</f>
        <v>205</v>
      </c>
    </row>
    <row r="2524" spans="1:9" x14ac:dyDescent="0.35">
      <c r="A2524" s="2" t="str">
        <f>CLEAN("WINNEBAGO")</f>
        <v>WINNEBAGO</v>
      </c>
      <c r="B2524" s="2" t="str">
        <f>CLEAN("TOWN OF ALGOMA")</f>
        <v>TOWN OF ALGOMA</v>
      </c>
      <c r="C2524" s="2" t="s">
        <v>2340</v>
      </c>
      <c r="D2524" s="2" t="str">
        <f>CLEAN("6180-31-00")</f>
        <v>6180-31-00</v>
      </c>
      <c r="E2524" s="3" t="str">
        <f>CLEAN("OMRO - OSHKOSH")</f>
        <v>OMRO - OSHKOSH</v>
      </c>
      <c r="F2524" s="3" t="str">
        <f>CLEAN("LEONARD POINT RD - WASHBURN STREET")</f>
        <v>LEONARD POINT RD - WASHBURN STREET</v>
      </c>
      <c r="G2524" s="3" t="str">
        <f>CLEAN("DSGN")</f>
        <v>DSGN</v>
      </c>
      <c r="H2524" s="2" t="str">
        <f>CLEAN("STH 021")</f>
        <v>STH 021</v>
      </c>
      <c r="I2524" s="2" t="str">
        <f>CLEAN("303")</f>
        <v>303</v>
      </c>
    </row>
    <row r="2525" spans="1:9" x14ac:dyDescent="0.35">
      <c r="A2525" s="2" t="str">
        <f>CLEAN("WINNEBAGO")</f>
        <v>WINNEBAGO</v>
      </c>
      <c r="B2525" s="2" t="str">
        <f>CLEAN("TOWN OF ALGOMA")</f>
        <v>TOWN OF ALGOMA</v>
      </c>
      <c r="C2525" s="2" t="s">
        <v>305</v>
      </c>
      <c r="D2525" s="2" t="str">
        <f>CLEAN("6180-31-71")</f>
        <v>6180-31-71</v>
      </c>
      <c r="E2525" s="3" t="str">
        <f>CLEAN("OMRO - OSHKOSH")</f>
        <v>OMRO - OSHKOSH</v>
      </c>
      <c r="F2525" s="3" t="str">
        <f>CLEAN("LEONARD POINT RD - WASHBURN STREET")</f>
        <v>LEONARD POINT RD - WASHBURN STREET</v>
      </c>
      <c r="G2525" s="3" t="str">
        <f>CLEAN("CONST OPS/RSRF20/HSIP")</f>
        <v>CONST OPS/RSRF20/HSIP</v>
      </c>
      <c r="H2525" s="2" t="str">
        <f>CLEAN("STH 021")</f>
        <v>STH 021</v>
      </c>
      <c r="I2525" s="2" t="str">
        <f>CLEAN("303")</f>
        <v>303</v>
      </c>
    </row>
    <row r="2526" spans="1:9" x14ac:dyDescent="0.35">
      <c r="A2526" s="2" t="str">
        <f>CLEAN("WINNEBAGO")</f>
        <v>WINNEBAGO</v>
      </c>
      <c r="B2526" s="2" t="str">
        <f>CLEAN("TOWN OF ALGOMA")</f>
        <v>TOWN OF ALGOMA</v>
      </c>
      <c r="C2526" s="2" t="s">
        <v>2412</v>
      </c>
      <c r="D2526" s="2" t="str">
        <f>CLEAN("6436-01-72")</f>
        <v>6436-01-72</v>
      </c>
      <c r="E2526" s="3" t="str">
        <f>CLEAN("T ALGOMA  LEONARD POINT ROAD")</f>
        <v>T ALGOMA  LEONARD POINT ROAD</v>
      </c>
      <c r="F2526" s="3" t="str">
        <f>CLEAN("HIGHLAND SHORE LANE TO STH 21")</f>
        <v>HIGHLAND SHORE LANE TO STH 21</v>
      </c>
      <c r="G2526" s="3" t="str">
        <f>CLEAN("DSGN/FULL PSE/RECST")</f>
        <v>DSGN/FULL PSE/RECST</v>
      </c>
      <c r="H2526" s="2" t="str">
        <f>CLEAN("LOC STR")</f>
        <v>LOC STR</v>
      </c>
      <c r="I2526" s="2" t="str">
        <f>CLEAN("206")</f>
        <v>206</v>
      </c>
    </row>
    <row r="2527" spans="1:9" x14ac:dyDescent="0.35">
      <c r="A2527" s="2" t="str">
        <f>CLEAN("FOND DU LAC")</f>
        <v>FOND DU LAC</v>
      </c>
      <c r="B2527" s="2" t="str">
        <f>CLEAN("TOWN OF ALTO")</f>
        <v>TOWN OF ALTO</v>
      </c>
      <c r="C2527" s="2" t="s">
        <v>2452</v>
      </c>
      <c r="D2527" s="2" t="str">
        <f>CLEAN("6187-06-00")</f>
        <v>6187-06-00</v>
      </c>
      <c r="E2527" s="3" t="str">
        <f>CLEAN("T ALTO  LAKE MARIA ROAD")</f>
        <v>T ALTO  LAKE MARIA ROAD</v>
      </c>
      <c r="F2527" s="3" t="str">
        <f>CLEAN("SOUTH BRANCH ROCK RIVER BRIDGE")</f>
        <v>SOUTH BRANCH ROCK RIVER BRIDGE</v>
      </c>
      <c r="G2527" s="3" t="str">
        <f>CLEAN("DSN/FULL PSE/BRRPL B200043")</f>
        <v>DSN/FULL PSE/BRRPL B200043</v>
      </c>
      <c r="H2527" s="2" t="str">
        <f>CLEAN("LOC STR")</f>
        <v>LOC STR</v>
      </c>
      <c r="I2527" s="2" t="str">
        <f>CLEAN("205")</f>
        <v>205</v>
      </c>
    </row>
    <row r="2528" spans="1:9" x14ac:dyDescent="0.35">
      <c r="A2528" s="2" t="str">
        <f>CLEAN("FOND DU LAC")</f>
        <v>FOND DU LAC</v>
      </c>
      <c r="B2528" s="2" t="str">
        <f>CLEAN("TOWN OF ALTO")</f>
        <v>TOWN OF ALTO</v>
      </c>
      <c r="C2528" s="2" t="s">
        <v>162</v>
      </c>
      <c r="D2528" s="2" t="str">
        <f>CLEAN("6187-06-71")</f>
        <v>6187-06-71</v>
      </c>
      <c r="E2528" s="3" t="str">
        <f>CLEAN("T ALTO  LAKE MARIA ROAD")</f>
        <v>T ALTO  LAKE MARIA ROAD</v>
      </c>
      <c r="F2528" s="3" t="str">
        <f>CLEAN("SOUTH BRANCH ROCK RIVER BRIDGE")</f>
        <v>SOUTH BRANCH ROCK RIVER BRIDGE</v>
      </c>
      <c r="G2528" s="3" t="str">
        <f>CLEAN("CONST OPS/BRRPL/B200043")</f>
        <v>CONST OPS/BRRPL/B200043</v>
      </c>
      <c r="H2528" s="2" t="str">
        <f>CLEAN("LOC STR")</f>
        <v>LOC STR</v>
      </c>
      <c r="I2528" s="2" t="str">
        <f>CLEAN("205")</f>
        <v>205</v>
      </c>
    </row>
    <row r="2529" spans="1:9" x14ac:dyDescent="0.35">
      <c r="A2529" s="2" t="str">
        <f>CLEAN("DOUGLAS")</f>
        <v>DOUGLAS</v>
      </c>
      <c r="B2529" s="2" t="str">
        <f>CLEAN("TOWN OF AMNICON")</f>
        <v>TOWN OF AMNICON</v>
      </c>
      <c r="C2529" s="2" t="s">
        <v>1844</v>
      </c>
      <c r="D2529" s="2" t="str">
        <f>CLEAN("8381-00-00")</f>
        <v>8381-00-00</v>
      </c>
      <c r="E2529" s="3" t="str">
        <f>CLEAN("T AMNICON  OLD ROAD 11")</f>
        <v>T AMNICON  OLD ROAD 11</v>
      </c>
      <c r="F2529" s="3" t="str">
        <f>CLEAN("MIDDLE RIVER BRIDGE P160095")</f>
        <v>MIDDLE RIVER BRIDGE P160095</v>
      </c>
      <c r="G2529" s="3" t="str">
        <f>CLEAN("DESIGN/BRRPL")</f>
        <v>DESIGN/BRRPL</v>
      </c>
      <c r="H2529" s="2" t="str">
        <f>CLEAN("LOC STR")</f>
        <v>LOC STR</v>
      </c>
      <c r="I2529" s="2" t="str">
        <f>CLEAN("205")</f>
        <v>205</v>
      </c>
    </row>
    <row r="2530" spans="1:9" x14ac:dyDescent="0.35">
      <c r="A2530" s="2" t="str">
        <f>CLEAN("DOUGLAS")</f>
        <v>DOUGLAS</v>
      </c>
      <c r="B2530" s="2" t="str">
        <f>CLEAN("TOWN OF AMNICON")</f>
        <v>TOWN OF AMNICON</v>
      </c>
      <c r="C2530" s="2" t="s">
        <v>1253</v>
      </c>
      <c r="D2530" s="2" t="str">
        <f>CLEAN("8381-00-70")</f>
        <v>8381-00-70</v>
      </c>
      <c r="E2530" s="3" t="str">
        <f>CLEAN("T AMNICON  OLD ROAD 11")</f>
        <v>T AMNICON  OLD ROAD 11</v>
      </c>
      <c r="F2530" s="3" t="str">
        <f>CLEAN("MIDDLE RIVER BRIDGE B-16-0145")</f>
        <v>MIDDLE RIVER BRIDGE B-16-0145</v>
      </c>
      <c r="G2530" s="3" t="str">
        <f>CLEAN("CONSTRUCTION/BRRPL")</f>
        <v>CONSTRUCTION/BRRPL</v>
      </c>
      <c r="H2530" s="2" t="str">
        <f>CLEAN("LOC STR")</f>
        <v>LOC STR</v>
      </c>
      <c r="I2530" s="2" t="str">
        <f>CLEAN("205")</f>
        <v>205</v>
      </c>
    </row>
    <row r="2531" spans="1:9" x14ac:dyDescent="0.35">
      <c r="A2531" s="2" t="str">
        <f>CLEAN("IRON")</f>
        <v>IRON</v>
      </c>
      <c r="B2531" s="2" t="str">
        <f>CLEAN("TOWN OF ANDERSON")</f>
        <v>TOWN OF ANDERSON</v>
      </c>
      <c r="C2531" s="2" t="s">
        <v>995</v>
      </c>
      <c r="D2531" s="2" t="str">
        <f>CLEAN("9250-14-71")</f>
        <v>9250-14-71</v>
      </c>
      <c r="E2531" s="3" t="str">
        <f>CLEAN("MELLEN - HURLEY")</f>
        <v>MELLEN - HURLEY</v>
      </c>
      <c r="F2531" s="3" t="str">
        <f>CLEAN("UPSON LAKE ROAD TO ODANAH ROAD")</f>
        <v>UPSON LAKE ROAD TO ODANAH ROAD</v>
      </c>
      <c r="G2531" s="3" t="str">
        <f>CLEAN("CONST/RESURFACE")</f>
        <v>CONST/RESURFACE</v>
      </c>
      <c r="H2531" s="2" t="str">
        <f>CLEAN("STH 077")</f>
        <v>STH 077</v>
      </c>
      <c r="I2531" s="2" t="str">
        <f>CLEAN("303")</f>
        <v>303</v>
      </c>
    </row>
    <row r="2532" spans="1:9" x14ac:dyDescent="0.35">
      <c r="A2532" s="2" t="str">
        <f>CLEAN("SHAWANO")</f>
        <v>SHAWANO</v>
      </c>
      <c r="B2532" s="2" t="str">
        <f>CLEAN("TOWN OF ANGELICA")</f>
        <v>TOWN OF ANGELICA</v>
      </c>
      <c r="C2532" s="2" t="s">
        <v>1987</v>
      </c>
      <c r="D2532" s="2" t="str">
        <f>CLEAN("9293-00-00")</f>
        <v>9293-00-00</v>
      </c>
      <c r="E2532" s="3" t="str">
        <f>CLEAN("T ANGELICA  GREEN VALLEY ROAD")</f>
        <v>T ANGELICA  GREEN VALLEY ROAD</v>
      </c>
      <c r="F2532" s="3" t="str">
        <f>CLEAN("PENSAUKEE RIVER BRIDGE  P-58-0099")</f>
        <v>PENSAUKEE RIVER BRIDGE  P-58-0099</v>
      </c>
      <c r="G2532" s="3" t="str">
        <f>CLEAN("DESIGN/FULL PSE/REPLACEMENT")</f>
        <v>DESIGN/FULL PSE/REPLACEMENT</v>
      </c>
      <c r="H2532" s="2" t="str">
        <f>CLEAN("LOC STR")</f>
        <v>LOC STR</v>
      </c>
      <c r="I2532" s="2" t="str">
        <f>CLEAN("205")</f>
        <v>205</v>
      </c>
    </row>
    <row r="2533" spans="1:9" x14ac:dyDescent="0.35">
      <c r="A2533" s="2" t="str">
        <f>CLEAN("SHAWANO")</f>
        <v>SHAWANO</v>
      </c>
      <c r="B2533" s="2" t="str">
        <f>CLEAN("TOWN OF ANGELICA")</f>
        <v>TOWN OF ANGELICA</v>
      </c>
      <c r="C2533" s="2" t="s">
        <v>1988</v>
      </c>
      <c r="D2533" s="2" t="str">
        <f>CLEAN("9293-00-01")</f>
        <v>9293-00-01</v>
      </c>
      <c r="E2533" s="3" t="str">
        <f>CLEAN("T ANGELICA  ELM ROAD")</f>
        <v>T ANGELICA  ELM ROAD</v>
      </c>
      <c r="F2533" s="3" t="str">
        <f>CLEAN("PENSAUKEE RIVER BRIDGE  P-58-0100")</f>
        <v>PENSAUKEE RIVER BRIDGE  P-58-0100</v>
      </c>
      <c r="G2533" s="3" t="str">
        <f>CLEAN("DESIGN/FULL PSE/REPLACEMENT")</f>
        <v>DESIGN/FULL PSE/REPLACEMENT</v>
      </c>
      <c r="H2533" s="2" t="str">
        <f>CLEAN("LOC STR")</f>
        <v>LOC STR</v>
      </c>
      <c r="I2533" s="2" t="str">
        <f>CLEAN("205")</f>
        <v>205</v>
      </c>
    </row>
    <row r="2534" spans="1:9" x14ac:dyDescent="0.35">
      <c r="A2534" s="2" t="str">
        <f>CLEAN("SHAWANO")</f>
        <v>SHAWANO</v>
      </c>
      <c r="B2534" s="2" t="str">
        <f>CLEAN("TOWN OF ANGELICA")</f>
        <v>TOWN OF ANGELICA</v>
      </c>
      <c r="C2534" s="2" t="s">
        <v>914</v>
      </c>
      <c r="D2534" s="2" t="str">
        <f>CLEAN("9293-00-70")</f>
        <v>9293-00-70</v>
      </c>
      <c r="E2534" s="3" t="str">
        <f>CLEAN("T ANGELICA  GREEN VALLEY ROAD")</f>
        <v>T ANGELICA  GREEN VALLEY ROAD</v>
      </c>
      <c r="F2534" s="3" t="str">
        <f>CLEAN("PENSAUKEE RIVER BRIDGE  P-58-0099")</f>
        <v>PENSAUKEE RIVER BRIDGE  P-58-0099</v>
      </c>
      <c r="G2534" s="3" t="str">
        <f>CLEAN("CONST/REPLACEMENT")</f>
        <v>CONST/REPLACEMENT</v>
      </c>
      <c r="H2534" s="2" t="str">
        <f>CLEAN("LOC STR")</f>
        <v>LOC STR</v>
      </c>
      <c r="I2534" s="2" t="str">
        <f>CLEAN("205")</f>
        <v>205</v>
      </c>
    </row>
    <row r="2535" spans="1:9" x14ac:dyDescent="0.35">
      <c r="A2535" s="2" t="str">
        <f>CLEAN("SHAWANO")</f>
        <v>SHAWANO</v>
      </c>
      <c r="B2535" s="2" t="str">
        <f>CLEAN("TOWN OF ANGELICA")</f>
        <v>TOWN OF ANGELICA</v>
      </c>
      <c r="C2535" s="2" t="s">
        <v>915</v>
      </c>
      <c r="D2535" s="2" t="str">
        <f>CLEAN("9293-00-71")</f>
        <v>9293-00-71</v>
      </c>
      <c r="E2535" s="3" t="str">
        <f>CLEAN("T ANGELICA  ELM ROAD")</f>
        <v>T ANGELICA  ELM ROAD</v>
      </c>
      <c r="F2535" s="3" t="str">
        <f>CLEAN("PENSAUKEE RIVER BRIDGE  P-58-0100")</f>
        <v>PENSAUKEE RIVER BRIDGE  P-58-0100</v>
      </c>
      <c r="G2535" s="3" t="str">
        <f>CLEAN("CONST/REPLACEMENT")</f>
        <v>CONST/REPLACEMENT</v>
      </c>
      <c r="H2535" s="2" t="str">
        <f>CLEAN("LOC STR")</f>
        <v>LOC STR</v>
      </c>
      <c r="I2535" s="2" t="str">
        <f>CLEAN("205")</f>
        <v>205</v>
      </c>
    </row>
    <row r="2536" spans="1:9" x14ac:dyDescent="0.35">
      <c r="A2536" s="2" t="str">
        <f>CLEAN("VILAS")</f>
        <v>VILAS</v>
      </c>
      <c r="B2536" s="2" t="str">
        <f>CLEAN("TOWN OF ARBOR VITAE")</f>
        <v>TOWN OF ARBOR VITAE</v>
      </c>
      <c r="C2536" s="2" t="s">
        <v>1903</v>
      </c>
      <c r="D2536" s="2" t="str">
        <f>CLEAN("9895-00-00")</f>
        <v>9895-00-00</v>
      </c>
      <c r="E2536" s="3" t="str">
        <f>CLEAN("T ARBOR VITAE  US 51 BIKE/PED TRAIL")</f>
        <v>T ARBOR VITAE  US 51 BIKE/PED TRAIL</v>
      </c>
      <c r="F2536" s="3" t="str">
        <f>CLEAN("TERRY DRIVE TO CHIPPEWA FOREST ROAD")</f>
        <v>TERRY DRIVE TO CHIPPEWA FOREST ROAD</v>
      </c>
      <c r="G2536" s="3" t="str">
        <f>CLEAN("DESIGN/FULL PSE/MISC")</f>
        <v>DESIGN/FULL PSE/MISC</v>
      </c>
      <c r="H2536" s="2" t="str">
        <f>CLEAN("NON HWY")</f>
        <v>NON HWY</v>
      </c>
      <c r="I2536" s="2" t="str">
        <f>CLEAN("290")</f>
        <v>290</v>
      </c>
    </row>
    <row r="2537" spans="1:9" x14ac:dyDescent="0.35">
      <c r="A2537" s="2" t="str">
        <f>CLEAN("COLUMBIA")</f>
        <v>COLUMBIA</v>
      </c>
      <c r="B2537" s="2" t="str">
        <f>CLEAN("TOWN OF ARLINGTON")</f>
        <v>TOWN OF ARLINGTON</v>
      </c>
      <c r="C2537" s="2" t="s">
        <v>2148</v>
      </c>
      <c r="D2537" s="2" t="str">
        <f>CLEAN("5652-00-01")</f>
        <v>5652-00-01</v>
      </c>
      <c r="E2537" s="3" t="str">
        <f>CLEAN("T OF ARLINGTON  SMOKEY HOLLOW RD")</f>
        <v>T OF ARLINGTON  SMOKEY HOLLOW RD</v>
      </c>
      <c r="F2537" s="3" t="str">
        <f>CLEAN("MEEK ROAD TO CTH K")</f>
        <v>MEEK ROAD TO CTH K</v>
      </c>
      <c r="G2537" s="3" t="str">
        <f>CLEAN("DESIGN/PLAN CHECK REVIEW/PVRPLA")</f>
        <v>DESIGN/PLAN CHECK REVIEW/PVRPLA</v>
      </c>
      <c r="H2537" s="2" t="str">
        <f>CLEAN("LOC STR")</f>
        <v>LOC STR</v>
      </c>
      <c r="I2537" s="2" t="str">
        <f>CLEAN("206")</f>
        <v>206</v>
      </c>
    </row>
    <row r="2538" spans="1:9" x14ac:dyDescent="0.35">
      <c r="A2538" s="2" t="str">
        <f>CLEAN("COLUMBIA")</f>
        <v>COLUMBIA</v>
      </c>
      <c r="B2538" s="2" t="str">
        <f>CLEAN("TOWN OF ARLINGTON")</f>
        <v>TOWN OF ARLINGTON</v>
      </c>
      <c r="C2538" s="2" t="s">
        <v>194</v>
      </c>
      <c r="D2538" s="2" t="str">
        <f>CLEAN("5652-00-71")</f>
        <v>5652-00-71</v>
      </c>
      <c r="E2538" s="3" t="str">
        <f>CLEAN("T OF ARLINGTON  SMOKEY HOLLOW RD")</f>
        <v>T OF ARLINGTON  SMOKEY HOLLOW RD</v>
      </c>
      <c r="F2538" s="3" t="str">
        <f>CLEAN("MEEK ROAD TO CTH K")</f>
        <v>MEEK ROAD TO CTH K</v>
      </c>
      <c r="G2538" s="3" t="str">
        <f>CLEAN("CONST OPS/PAVEMENT REPLACEMENT")</f>
        <v>CONST OPS/PAVEMENT REPLACEMENT</v>
      </c>
      <c r="H2538" s="2" t="str">
        <f>CLEAN("LOC STR")</f>
        <v>LOC STR</v>
      </c>
      <c r="I2538" s="2" t="str">
        <f>CLEAN("206")</f>
        <v>206</v>
      </c>
    </row>
    <row r="2539" spans="1:9" x14ac:dyDescent="0.35">
      <c r="A2539" s="2" t="str">
        <f>CLEAN("FOND DU LAC")</f>
        <v>FOND DU LAC</v>
      </c>
      <c r="B2539" s="2" t="str">
        <f>CLEAN("TOWN OF ASHFORD")</f>
        <v>TOWN OF ASHFORD</v>
      </c>
      <c r="C2539" s="2" t="s">
        <v>2459</v>
      </c>
      <c r="D2539" s="2" t="str">
        <f>CLEAN("4814-04-00")</f>
        <v>4814-04-00</v>
      </c>
      <c r="E2539" s="3" t="str">
        <f>CLEAN("T ASHFORD  SUPERIOR DRIVE")</f>
        <v>T ASHFORD  SUPERIOR DRIVE</v>
      </c>
      <c r="F2539" s="3" t="str">
        <f>CLEAN("EAST BRANCH ROCK RIVER BRIDGE")</f>
        <v>EAST BRANCH ROCK RIVER BRIDGE</v>
      </c>
      <c r="G2539" s="3" t="str">
        <f>CLEAN("DSN/FULL PSE/BRRPL P20-0907")</f>
        <v>DSN/FULL PSE/BRRPL P20-0907</v>
      </c>
      <c r="H2539" s="2" t="str">
        <f>CLEAN("LOC STR")</f>
        <v>LOC STR</v>
      </c>
      <c r="I2539" s="2" t="str">
        <f>CLEAN("205")</f>
        <v>205</v>
      </c>
    </row>
    <row r="2540" spans="1:9" x14ac:dyDescent="0.35">
      <c r="A2540" s="2" t="str">
        <f>CLEAN("FOND DU LAC")</f>
        <v>FOND DU LAC</v>
      </c>
      <c r="B2540" s="2" t="str">
        <f>CLEAN("TOWN OF ASHFORD")</f>
        <v>TOWN OF ASHFORD</v>
      </c>
      <c r="C2540" s="2" t="s">
        <v>157</v>
      </c>
      <c r="D2540" s="2" t="str">
        <f>CLEAN("4814-04-71")</f>
        <v>4814-04-71</v>
      </c>
      <c r="E2540" s="3" t="str">
        <f>CLEAN("T ASHFORD  SUPERIOR DRIVE")</f>
        <v>T ASHFORD  SUPERIOR DRIVE</v>
      </c>
      <c r="F2540" s="3" t="str">
        <f>CLEAN("EAST BRANCH ROCK RIVER BRIDGE")</f>
        <v>EAST BRANCH ROCK RIVER BRIDGE</v>
      </c>
      <c r="G2540" s="3" t="str">
        <f>CLEAN("CONST OPS/BRRPL P20-0907")</f>
        <v>CONST OPS/BRRPL P20-0907</v>
      </c>
      <c r="H2540" s="2" t="str">
        <f>CLEAN("LOC STR")</f>
        <v>LOC STR</v>
      </c>
      <c r="I2540" s="2" t="str">
        <f>CLEAN("205")</f>
        <v>205</v>
      </c>
    </row>
    <row r="2541" spans="1:9" x14ac:dyDescent="0.35">
      <c r="A2541" s="2" t="str">
        <f>CLEAN("DODGE")</f>
        <v>DODGE</v>
      </c>
      <c r="B2541" s="2" t="str">
        <f>CLEAN("TOWN OF ASHIPPUN")</f>
        <v>TOWN OF ASHIPPUN</v>
      </c>
      <c r="C2541" s="2" t="s">
        <v>344</v>
      </c>
      <c r="D2541" s="2" t="str">
        <f>CLEAN("3030-05-74")</f>
        <v>3030-05-74</v>
      </c>
      <c r="E2541" s="3" t="str">
        <f>CLEAN("OCONOMOWOC - MAYVILLE")</f>
        <v>OCONOMOWOC - MAYVILLE</v>
      </c>
      <c r="F2541" s="3" t="str">
        <f>CLEAN("WAUKESHA CO LINE TO CTH MM")</f>
        <v>WAUKESHA CO LINE TO CTH MM</v>
      </c>
      <c r="G2541" s="3" t="str">
        <f>CLEAN("CONST/ MILL AND OVERLAY")</f>
        <v>CONST/ MILL AND OVERLAY</v>
      </c>
      <c r="H2541" s="2" t="str">
        <f>CLEAN("STH 067")</f>
        <v>STH 067</v>
      </c>
      <c r="I2541" s="2" t="str">
        <f>CLEAN("303")</f>
        <v>303</v>
      </c>
    </row>
    <row r="2542" spans="1:9" x14ac:dyDescent="0.35">
      <c r="A2542" s="2" t="str">
        <f>CLEAN("DOOR")</f>
        <v>DOOR</v>
      </c>
      <c r="B2542" s="2" t="str">
        <f>CLEAN("TOWN OF BAILEYS HARBOR")</f>
        <v>TOWN OF BAILEYS HARBOR</v>
      </c>
      <c r="C2542" s="2" t="s">
        <v>297</v>
      </c>
      <c r="D2542" s="2" t="str">
        <f>CLEAN("4150-14-71")</f>
        <v>4150-14-71</v>
      </c>
      <c r="E2542" s="3" t="str">
        <f>CLEAN("SUMMIT RD - BAILEYS HARBOR")</f>
        <v>SUMMIT RD - BAILEYS HARBOR</v>
      </c>
      <c r="F2542" s="3" t="str">
        <f>CLEAN("SUMMIT RD - CTH Q")</f>
        <v>SUMMIT RD - CTH Q</v>
      </c>
      <c r="G2542" s="3" t="str">
        <f>CLEAN("CONST OPS/RSRF")</f>
        <v>CONST OPS/RSRF</v>
      </c>
      <c r="H2542" s="2" t="str">
        <f>CLEAN("STH 057")</f>
        <v>STH 057</v>
      </c>
      <c r="I2542" s="2" t="str">
        <f>CLEAN("303")</f>
        <v>303</v>
      </c>
    </row>
    <row r="2543" spans="1:9" x14ac:dyDescent="0.35">
      <c r="A2543" s="2" t="str">
        <f>CLEAN("WASHINGTON")</f>
        <v>WASHINGTON</v>
      </c>
      <c r="B2543" s="2" t="str">
        <f>CLEAN("TOWN OF BARTON")</f>
        <v>TOWN OF BARTON</v>
      </c>
      <c r="C2543" s="2" t="s">
        <v>2844</v>
      </c>
      <c r="D2543" s="2" t="str">
        <f>CLEAN("4825-05-01")</f>
        <v>4825-05-01</v>
      </c>
      <c r="E2543" s="3" t="str">
        <f>CLEAN("T BARTON  LIGHTHOUSE LN")</f>
        <v>T BARTON  LIGHTHOUSE LN</v>
      </c>
      <c r="F2543" s="3" t="str">
        <f>CLEAN("OVER MILWAUKEE RIVER P66-0044")</f>
        <v>OVER MILWAUKEE RIVER P66-0044</v>
      </c>
      <c r="G2543" s="3" t="str">
        <f>CLEAN("PE/FULL PSE/BRRPL")</f>
        <v>PE/FULL PSE/BRRPL</v>
      </c>
      <c r="H2543" s="2" t="str">
        <f t="shared" ref="H2543:H2551" si="396">CLEAN("LOC STR")</f>
        <v>LOC STR</v>
      </c>
      <c r="I2543" s="2" t="str">
        <f t="shared" ref="I2543:I2551" si="397">CLEAN("205")</f>
        <v>205</v>
      </c>
    </row>
    <row r="2544" spans="1:9" x14ac:dyDescent="0.35">
      <c r="A2544" s="2" t="str">
        <f>CLEAN("WASHINGTON")</f>
        <v>WASHINGTON</v>
      </c>
      <c r="B2544" s="2" t="str">
        <f>CLEAN("TOWN OF BARTON")</f>
        <v>TOWN OF BARTON</v>
      </c>
      <c r="C2544" s="2" t="s">
        <v>2700</v>
      </c>
      <c r="D2544" s="2" t="str">
        <f>CLEAN("4825-05-00")</f>
        <v>4825-05-00</v>
      </c>
      <c r="E2544" s="3" t="str">
        <f>CLEAN("T BARTON  WOODFORD DR")</f>
        <v>T BARTON  WOODFORD DR</v>
      </c>
      <c r="F2544" s="3" t="str">
        <f>CLEAN("MILWAUKEE RIVER BRIDGE P66-0063")</f>
        <v>MILWAUKEE RIVER BRIDGE P66-0063</v>
      </c>
      <c r="G2544" s="3" t="str">
        <f>CLEAN("PE/FULL PS&amp;E ROW/BRRPL")</f>
        <v>PE/FULL PS&amp;E ROW/BRRPL</v>
      </c>
      <c r="H2544" s="2" t="str">
        <f t="shared" si="396"/>
        <v>LOC STR</v>
      </c>
      <c r="I2544" s="2" t="str">
        <f t="shared" si="397"/>
        <v>205</v>
      </c>
    </row>
    <row r="2545" spans="1:9" x14ac:dyDescent="0.35">
      <c r="A2545" s="2" t="str">
        <f>CLEAN("WASHINGTON")</f>
        <v>WASHINGTON</v>
      </c>
      <c r="B2545" s="2" t="str">
        <f>CLEAN("TOWN OF BARTON")</f>
        <v>TOWN OF BARTON</v>
      </c>
      <c r="C2545" s="2" t="s">
        <v>513</v>
      </c>
      <c r="D2545" s="2" t="str">
        <f>CLEAN("4825-05-71")</f>
        <v>4825-05-71</v>
      </c>
      <c r="E2545" s="3" t="str">
        <f>CLEAN("T BARTON  LIGHTHOUSE LN")</f>
        <v>T BARTON  LIGHTHOUSE LN</v>
      </c>
      <c r="F2545" s="3" t="str">
        <f>CLEAN("OVER MILWAUKEE RIVER P66-0044")</f>
        <v>OVER MILWAUKEE RIVER P66-0044</v>
      </c>
      <c r="G2545" s="3" t="str">
        <f>CLEAN("CONST/BRRPL")</f>
        <v>CONST/BRRPL</v>
      </c>
      <c r="H2545" s="2" t="str">
        <f t="shared" si="396"/>
        <v>LOC STR</v>
      </c>
      <c r="I2545" s="2" t="str">
        <f t="shared" si="397"/>
        <v>205</v>
      </c>
    </row>
    <row r="2546" spans="1:9" x14ac:dyDescent="0.35">
      <c r="A2546" s="2" t="str">
        <f>CLEAN("CLARK")</f>
        <v>CLARK</v>
      </c>
      <c r="B2546" s="2" t="str">
        <f>CLEAN("TOWN OF BEAVER")</f>
        <v>TOWN OF BEAVER</v>
      </c>
      <c r="C2546" s="2" t="s">
        <v>1473</v>
      </c>
      <c r="D2546" s="2" t="str">
        <f>CLEAN("7841-00-02")</f>
        <v>7841-00-02</v>
      </c>
      <c r="E2546" s="3" t="str">
        <f>CLEAN("T BEAVER  KINGTON ROAD")</f>
        <v>T BEAVER  KINGTON ROAD</v>
      </c>
      <c r="F2546" s="3" t="str">
        <f>CLEAN("NELSON CREEK BRIDGE P-10-0902")</f>
        <v>NELSON CREEK BRIDGE P-10-0902</v>
      </c>
      <c r="G2546" s="3" t="str">
        <f>CLEAN("DESIGN - FULL PS&amp;E BRRPL")</f>
        <v>DESIGN - FULL PS&amp;E BRRPL</v>
      </c>
      <c r="H2546" s="2" t="str">
        <f t="shared" si="396"/>
        <v>LOC STR</v>
      </c>
      <c r="I2546" s="2" t="str">
        <f t="shared" si="397"/>
        <v>205</v>
      </c>
    </row>
    <row r="2547" spans="1:9" x14ac:dyDescent="0.35">
      <c r="A2547" s="2" t="str">
        <f>CLEAN("CLARK")</f>
        <v>CLARK</v>
      </c>
      <c r="B2547" s="2" t="str">
        <f>CLEAN("TOWN OF BEAVER")</f>
        <v>TOWN OF BEAVER</v>
      </c>
      <c r="C2547" s="2" t="s">
        <v>1197</v>
      </c>
      <c r="D2547" s="2" t="str">
        <f>CLEAN("7841-00-03")</f>
        <v>7841-00-03</v>
      </c>
      <c r="E2547" s="3" t="str">
        <f>CLEAN("T BEAVER  KINGTON ROAD")</f>
        <v>T BEAVER  KINGTON ROAD</v>
      </c>
      <c r="F2547" s="3" t="str">
        <f>CLEAN("NELSON CREEK BRIDGE B-10-0255")</f>
        <v>NELSON CREEK BRIDGE B-10-0255</v>
      </c>
      <c r="G2547" s="3" t="str">
        <f>CLEAN("CONSTRUCTION/BRIDGE REPLACEMENT")</f>
        <v>CONSTRUCTION/BRIDGE REPLACEMENT</v>
      </c>
      <c r="H2547" s="2" t="str">
        <f t="shared" si="396"/>
        <v>LOC STR</v>
      </c>
      <c r="I2547" s="2" t="str">
        <f t="shared" si="397"/>
        <v>205</v>
      </c>
    </row>
    <row r="2548" spans="1:9" x14ac:dyDescent="0.35">
      <c r="A2548" s="2" t="str">
        <f>CLEAN("CLARK")</f>
        <v>CLARK</v>
      </c>
      <c r="B2548" s="2" t="str">
        <f>CLEAN("TOWN OF BEAVER")</f>
        <v>TOWN OF BEAVER</v>
      </c>
      <c r="C2548" s="2" t="s">
        <v>2334</v>
      </c>
      <c r="D2548" s="2" t="str">
        <f>CLEAN("7841-00-04")</f>
        <v>7841-00-04</v>
      </c>
      <c r="E2548" s="3" t="str">
        <f>CLEAN("T BEAVER  RIPLINGER RD")</f>
        <v>T BEAVER  RIPLINGER RD</v>
      </c>
      <c r="F2548" s="3" t="str">
        <f>CLEAN("NELSON CREEK BRIDGE P-10-0937")</f>
        <v>NELSON CREEK BRIDGE P-10-0937</v>
      </c>
      <c r="G2548" s="3" t="str">
        <f>CLEAN("DESIGN-FULL PS&amp;E/BRRPL")</f>
        <v>DESIGN-FULL PS&amp;E/BRRPL</v>
      </c>
      <c r="H2548" s="2" t="str">
        <f t="shared" si="396"/>
        <v>LOC STR</v>
      </c>
      <c r="I2548" s="2" t="str">
        <f t="shared" si="397"/>
        <v>205</v>
      </c>
    </row>
    <row r="2549" spans="1:9" x14ac:dyDescent="0.35">
      <c r="A2549" s="2" t="str">
        <f>CLEAN("CLARK")</f>
        <v>CLARK</v>
      </c>
      <c r="B2549" s="2" t="str">
        <f>CLEAN("TOWN OF BEAVER")</f>
        <v>TOWN OF BEAVER</v>
      </c>
      <c r="C2549" s="2" t="s">
        <v>1259</v>
      </c>
      <c r="D2549" s="2" t="str">
        <f>CLEAN("7841-00-74")</f>
        <v>7841-00-74</v>
      </c>
      <c r="E2549" s="3" t="str">
        <f>CLEAN("T BEAVER  RIPLINGER RD")</f>
        <v>T BEAVER  RIPLINGER RD</v>
      </c>
      <c r="F2549" s="3" t="str">
        <f>CLEAN("NELSON CREEK BRIDGE B-10-0266")</f>
        <v>NELSON CREEK BRIDGE B-10-0266</v>
      </c>
      <c r="G2549" s="3" t="str">
        <f>CLEAN("CONSTRUCTION/BRRPL")</f>
        <v>CONSTRUCTION/BRRPL</v>
      </c>
      <c r="H2549" s="2" t="str">
        <f t="shared" si="396"/>
        <v>LOC STR</v>
      </c>
      <c r="I2549" s="2" t="str">
        <f t="shared" si="397"/>
        <v>205</v>
      </c>
    </row>
    <row r="2550" spans="1:9" x14ac:dyDescent="0.35">
      <c r="A2550" s="2" t="str">
        <f>CLEAN("GRANT")</f>
        <v>GRANT</v>
      </c>
      <c r="B2550" s="2" t="str">
        <f>CLEAN("TOWN OF BEETOWN")</f>
        <v>TOWN OF BEETOWN</v>
      </c>
      <c r="C2550" s="2" t="s">
        <v>1423</v>
      </c>
      <c r="D2550" s="2" t="str">
        <f>CLEAN("5756-00-03")</f>
        <v>5756-00-03</v>
      </c>
      <c r="E2550" s="3" t="str">
        <f>CLEAN("TOWN BEETOWN  RATTLESNAKE ROAD")</f>
        <v>TOWN BEETOWN  RATTLESNAKE ROAD</v>
      </c>
      <c r="F2550" s="3" t="str">
        <f>CLEAN("BEETOWN BRANCH BRIDGE P-22-0903")</f>
        <v>BEETOWN BRANCH BRIDGE P-22-0903</v>
      </c>
      <c r="G2550" s="3" t="str">
        <f>CLEAN("DESIGN - FULL PS&amp;E BRRPL")</f>
        <v>DESIGN - FULL PS&amp;E BRRPL</v>
      </c>
      <c r="H2550" s="2" t="str">
        <f t="shared" si="396"/>
        <v>LOC STR</v>
      </c>
      <c r="I2550" s="2" t="str">
        <f t="shared" si="397"/>
        <v>205</v>
      </c>
    </row>
    <row r="2551" spans="1:9" x14ac:dyDescent="0.35">
      <c r="A2551" s="2" t="str">
        <f>CLEAN("OZAUKEE")</f>
        <v>OZAUKEE</v>
      </c>
      <c r="B2551" s="2" t="str">
        <f>CLEAN("TOWN OF BELGIUM")</f>
        <v>TOWN OF BELGIUM</v>
      </c>
      <c r="C2551" s="2" t="s">
        <v>2798</v>
      </c>
      <c r="D2551" s="2" t="str">
        <f>CLEAN("4820-05-00")</f>
        <v>4820-05-00</v>
      </c>
      <c r="E2551" s="3" t="str">
        <f>CLEAN("T BELGIUM  DIXIE RD")</f>
        <v>T BELGIUM  DIXIE RD</v>
      </c>
      <c r="F2551" s="3" t="str">
        <f>CLEAN("SAUK CREEK BRIDGE P45-0027")</f>
        <v>SAUK CREEK BRIDGE P45-0027</v>
      </c>
      <c r="G2551" s="3" t="str">
        <f>CLEAN("PE/FULL PS/BRRPL")</f>
        <v>PE/FULL PS/BRRPL</v>
      </c>
      <c r="H2551" s="2" t="str">
        <f t="shared" si="396"/>
        <v>LOC STR</v>
      </c>
      <c r="I2551" s="2" t="str">
        <f t="shared" si="397"/>
        <v>205</v>
      </c>
    </row>
    <row r="2552" spans="1:9" x14ac:dyDescent="0.35">
      <c r="A2552" s="2" t="str">
        <f>CLEAN("ROCK")</f>
        <v>ROCK</v>
      </c>
      <c r="B2552" s="2" t="str">
        <f>CLEAN("TOWN OF BELOIT")</f>
        <v>TOWN OF BELOIT</v>
      </c>
      <c r="C2552" s="2" t="s">
        <v>3335</v>
      </c>
      <c r="D2552" s="2" t="str">
        <f>CLEAN("1009-22-03")</f>
        <v>1009-22-03</v>
      </c>
      <c r="E2552" s="3" t="str">
        <f>CLEAN("TOWN OF BELOIT  TRAFFIC STUDY")</f>
        <v>TOWN OF BELOIT  TRAFFIC STUDY</v>
      </c>
      <c r="F2552" s="3" t="str">
        <f>CLEAN("TOWN OF BELOIT MULTIPLE LOCATIONS")</f>
        <v>TOWN OF BELOIT MULTIPLE LOCATIONS</v>
      </c>
      <c r="G2552" s="3" t="str">
        <f>CLEAN("SCHOOL AREAS TRAFFIC/SAFETY STUDY")</f>
        <v>SCHOOL AREAS TRAFFIC/SAFETY STUDY</v>
      </c>
      <c r="H2552" s="2" t="str">
        <f>CLEAN("NON HWY")</f>
        <v>NON HWY</v>
      </c>
      <c r="I2552" s="2" t="str">
        <f>CLEAN("290")</f>
        <v>290</v>
      </c>
    </row>
    <row r="2553" spans="1:9" x14ac:dyDescent="0.35">
      <c r="A2553" s="2" t="str">
        <f>CLEAN("ROCK")</f>
        <v>ROCK</v>
      </c>
      <c r="B2553" s="2" t="str">
        <f>CLEAN("TOWN OF BELOIT")</f>
        <v>TOWN OF BELOIT</v>
      </c>
      <c r="C2553" s="2" t="s">
        <v>2121</v>
      </c>
      <c r="D2553" s="2" t="str">
        <f>CLEAN("5755-00-04")</f>
        <v>5755-00-04</v>
      </c>
      <c r="E2553" s="3" t="str">
        <f>CLEAN("T BELOIT  ARMSTRONG EDDY PATH")</f>
        <v>T BELOIT  ARMSTRONG EDDY PATH</v>
      </c>
      <c r="F2553" s="3" t="str">
        <f>CLEAN("HENRY STREET TO RIVERSIDE PARK")</f>
        <v>HENRY STREET TO RIVERSIDE PARK</v>
      </c>
      <c r="G2553" s="3" t="str">
        <f>CLEAN("DESIGN/PLAN CHECK REVIEW/PATH")</f>
        <v>DESIGN/PLAN CHECK REVIEW/PATH</v>
      </c>
      <c r="H2553" s="2" t="str">
        <f>CLEAN("USH 051")</f>
        <v>USH 051</v>
      </c>
      <c r="I2553" s="2" t="str">
        <f>CLEAN("206")</f>
        <v>206</v>
      </c>
    </row>
    <row r="2554" spans="1:9" x14ac:dyDescent="0.35">
      <c r="A2554" s="2" t="str">
        <f>CLEAN("ROCK")</f>
        <v>ROCK</v>
      </c>
      <c r="B2554" s="2" t="str">
        <f>CLEAN("TOWN OF BELOIT")</f>
        <v>TOWN OF BELOIT</v>
      </c>
      <c r="C2554" s="2" t="s">
        <v>2222</v>
      </c>
      <c r="D2554" s="2" t="str">
        <f>CLEAN("5755-00-12")</f>
        <v>5755-00-12</v>
      </c>
      <c r="E2554" s="3" t="str">
        <f>CLEAN("T BELOIT  CRANSTON ROAD")</f>
        <v>T BELOIT  CRANSTON ROAD</v>
      </c>
      <c r="F2554" s="3" t="str">
        <f>CLEAN("USH 51 TO W. COLLINGSWOOD DRIVE")</f>
        <v>USH 51 TO W. COLLINGSWOOD DRIVE</v>
      </c>
      <c r="G2554" s="3" t="str">
        <f>CLEAN("DESIGN/PLAN CHECK REVIEW/RECST")</f>
        <v>DESIGN/PLAN CHECK REVIEW/RECST</v>
      </c>
      <c r="H2554" s="2" t="str">
        <f t="shared" ref="H2554:H2560" si="398">CLEAN("LOC STR")</f>
        <v>LOC STR</v>
      </c>
      <c r="I2554" s="2" t="str">
        <f>CLEAN("206")</f>
        <v>206</v>
      </c>
    </row>
    <row r="2555" spans="1:9" x14ac:dyDescent="0.35">
      <c r="A2555" s="2" t="str">
        <f>CLEAN("ROCK")</f>
        <v>ROCK</v>
      </c>
      <c r="B2555" s="2" t="str">
        <f>CLEAN("TOWN OF BELOIT")</f>
        <v>TOWN OF BELOIT</v>
      </c>
      <c r="C2555" s="2" t="s">
        <v>2161</v>
      </c>
      <c r="D2555" s="2" t="str">
        <f>CLEAN("5989-00-30")</f>
        <v>5989-00-30</v>
      </c>
      <c r="E2555" s="3" t="str">
        <f>CLEAN("TOWN OF BELOIT  PARK AVENUE")</f>
        <v>TOWN OF BELOIT  PARK AVENUE</v>
      </c>
      <c r="F2555" s="3" t="str">
        <f>CLEAN("CRANSTON ROAD TO E INMAN PARKWAY")</f>
        <v>CRANSTON ROAD TO E INMAN PARKWAY</v>
      </c>
      <c r="G2555" s="3" t="str">
        <f>CLEAN("DESIGN/PLAN CHECK REVIEW/RCND")</f>
        <v>DESIGN/PLAN CHECK REVIEW/RCND</v>
      </c>
      <c r="H2555" s="2" t="str">
        <f t="shared" si="398"/>
        <v>LOC STR</v>
      </c>
      <c r="I2555" s="2" t="str">
        <f>CLEAN("206")</f>
        <v>206</v>
      </c>
    </row>
    <row r="2556" spans="1:9" x14ac:dyDescent="0.35">
      <c r="A2556" s="2" t="str">
        <f>CLEAN("ROCK")</f>
        <v>ROCK</v>
      </c>
      <c r="B2556" s="2" t="str">
        <f>CLEAN("TOWN OF BELOIT")</f>
        <v>TOWN OF BELOIT</v>
      </c>
      <c r="C2556" s="2" t="s">
        <v>220</v>
      </c>
      <c r="D2556" s="2" t="str">
        <f>CLEAN("5989-00-31")</f>
        <v>5989-00-31</v>
      </c>
      <c r="E2556" s="3" t="str">
        <f>CLEAN("TOWN OF BELOIT  PARK AVENUE")</f>
        <v>TOWN OF BELOIT  PARK AVENUE</v>
      </c>
      <c r="F2556" s="3" t="str">
        <f>CLEAN("CRANSTON ROAD TO E INMAN PARKWAY")</f>
        <v>CRANSTON ROAD TO E INMAN PARKWAY</v>
      </c>
      <c r="G2556" s="3" t="str">
        <f>CLEAN("CONST OPS/RECONDITION")</f>
        <v>CONST OPS/RECONDITION</v>
      </c>
      <c r="H2556" s="2" t="str">
        <f t="shared" si="398"/>
        <v>LOC STR</v>
      </c>
      <c r="I2556" s="2" t="str">
        <f>CLEAN("206")</f>
        <v>206</v>
      </c>
    </row>
    <row r="2557" spans="1:9" x14ac:dyDescent="0.35">
      <c r="A2557" s="2" t="str">
        <f>CLEAN("POLK")</f>
        <v>POLK</v>
      </c>
      <c r="B2557" s="2" t="str">
        <f>CLEAN("TOWN OF BLACK BROOK")</f>
        <v>TOWN OF BLACK BROOK</v>
      </c>
      <c r="C2557" s="2" t="s">
        <v>1575</v>
      </c>
      <c r="D2557" s="2" t="str">
        <f>CLEAN("8401-00-00")</f>
        <v>8401-00-00</v>
      </c>
      <c r="E2557" s="3" t="str">
        <f>CLEAN("T BLACK BROOK  50TH AVENUE")</f>
        <v>T BLACK BROOK  50TH AVENUE</v>
      </c>
      <c r="F2557" s="3" t="str">
        <f>CLEAN("BULL BROOK BRIDGE P-48-0902")</f>
        <v>BULL BROOK BRIDGE P-48-0902</v>
      </c>
      <c r="G2557" s="3" t="str">
        <f>CLEAN("DESIGN - FULL PS&amp;E/BRRPL")</f>
        <v>DESIGN - FULL PS&amp;E/BRRPL</v>
      </c>
      <c r="H2557" s="2" t="str">
        <f t="shared" si="398"/>
        <v>LOC STR</v>
      </c>
      <c r="I2557" s="2" t="str">
        <f>CLEAN("205")</f>
        <v>205</v>
      </c>
    </row>
    <row r="2558" spans="1:9" x14ac:dyDescent="0.35">
      <c r="A2558" s="2" t="str">
        <f>CLEAN("DANE")</f>
        <v>DANE</v>
      </c>
      <c r="B2558" s="2" t="str">
        <f>CLEAN("TOWN OF BLACK EARTH")</f>
        <v>TOWN OF BLACK EARTH</v>
      </c>
      <c r="C2558" s="2" t="s">
        <v>1444</v>
      </c>
      <c r="D2558" s="2" t="str">
        <f>CLEAN("5797-01-03")</f>
        <v>5797-01-03</v>
      </c>
      <c r="E2558" s="3" t="str">
        <f>CLEAN("T OF BLACK EARTH  REEVE RD")</f>
        <v>T OF BLACK EARTH  REEVE RD</v>
      </c>
      <c r="F2558" s="3" t="str">
        <f>CLEAN("E BR BLUE MOUND CREEK BDG P-13-0131")</f>
        <v>E BR BLUE MOUND CREEK BDG P-13-0131</v>
      </c>
      <c r="G2558" s="3" t="str">
        <f>CLEAN("DESIGN - FULL PS&amp;E BRRPL")</f>
        <v>DESIGN - FULL PS&amp;E BRRPL</v>
      </c>
      <c r="H2558" s="2" t="str">
        <f t="shared" si="398"/>
        <v>LOC STR</v>
      </c>
      <c r="I2558" s="2" t="str">
        <f>CLEAN("205")</f>
        <v>205</v>
      </c>
    </row>
    <row r="2559" spans="1:9" x14ac:dyDescent="0.35">
      <c r="A2559" s="2" t="str">
        <f>CLEAN("OCONTO")</f>
        <v>OCONTO</v>
      </c>
      <c r="B2559" s="2" t="str">
        <f>CLEAN("TOWN OF BRAZEAU")</f>
        <v>TOWN OF BRAZEAU</v>
      </c>
      <c r="C2559" s="2" t="s">
        <v>1892</v>
      </c>
      <c r="D2559" s="2" t="str">
        <f>CLEAN("9026-00-00")</f>
        <v>9026-00-00</v>
      </c>
      <c r="E2559" s="3" t="str">
        <f>CLEAN("T BRAZEAU  OLD 64 ROAD")</f>
        <v>T BRAZEAU  OLD 64 ROAD</v>
      </c>
      <c r="F2559" s="3" t="str">
        <f>CLEAN("PESHTIGO BROOK BRIDGE")</f>
        <v>PESHTIGO BROOK BRIDGE</v>
      </c>
      <c r="G2559" s="3" t="str">
        <f>CLEAN("DESIGN/FULL PSE/BRRPL/B-42-0066")</f>
        <v>DESIGN/FULL PSE/BRRPL/B-42-0066</v>
      </c>
      <c r="H2559" s="2" t="str">
        <f t="shared" si="398"/>
        <v>LOC STR</v>
      </c>
      <c r="I2559" s="2" t="str">
        <f>CLEAN("205")</f>
        <v>205</v>
      </c>
    </row>
    <row r="2560" spans="1:9" x14ac:dyDescent="0.35">
      <c r="A2560" s="2" t="str">
        <f>CLEAN("OCONTO")</f>
        <v>OCONTO</v>
      </c>
      <c r="B2560" s="2" t="str">
        <f>CLEAN("TOWN OF BRAZEAU")</f>
        <v>TOWN OF BRAZEAU</v>
      </c>
      <c r="C2560" s="2" t="s">
        <v>171</v>
      </c>
      <c r="D2560" s="2" t="str">
        <f>CLEAN("9026-00-01")</f>
        <v>9026-00-01</v>
      </c>
      <c r="E2560" s="3" t="str">
        <f>CLEAN("T BRAZEAU  OLD 64 ROAD")</f>
        <v>T BRAZEAU  OLD 64 ROAD</v>
      </c>
      <c r="F2560" s="3" t="str">
        <f>CLEAN("PESHTIGO BROOK BRIDGE")</f>
        <v>PESHTIGO BROOK BRIDGE</v>
      </c>
      <c r="G2560" s="3" t="str">
        <f>CLEAN("CONST OPS/BRRPL/B420135")</f>
        <v>CONST OPS/BRRPL/B420135</v>
      </c>
      <c r="H2560" s="2" t="str">
        <f t="shared" si="398"/>
        <v>LOC STR</v>
      </c>
      <c r="I2560" s="2" t="str">
        <f>CLEAN("205")</f>
        <v>205</v>
      </c>
    </row>
    <row r="2561" spans="1:9" x14ac:dyDescent="0.35">
      <c r="A2561" s="2" t="str">
        <f>CLEAN("WAUKESHA")</f>
        <v>WAUKESHA</v>
      </c>
      <c r="B2561" s="2" t="str">
        <f>CLEAN("TOWN OF BROOKFIELD")</f>
        <v>TOWN OF BROOKFIELD</v>
      </c>
      <c r="C2561" s="2" t="s">
        <v>971</v>
      </c>
      <c r="D2561" s="2" t="str">
        <f>CLEAN("2200-20-70")</f>
        <v>2200-20-70</v>
      </c>
      <c r="E2561" s="3" t="str">
        <f>CLEAN("C BROOKFIELD  BLUEMOUND RD")</f>
        <v>C BROOKFIELD  BLUEMOUND RD</v>
      </c>
      <c r="F2561" s="3" t="str">
        <f>CLEAN("IH 94 TO EAST COUNTY LINE")</f>
        <v>IH 94 TO EAST COUNTY LINE</v>
      </c>
      <c r="G2561" s="3" t="str">
        <f>CLEAN("CONST/RESURFACE")</f>
        <v>CONST/RESURFACE</v>
      </c>
      <c r="H2561" s="2" t="str">
        <f>CLEAN("USH 018")</f>
        <v>USH 018</v>
      </c>
      <c r="I2561" s="2" t="str">
        <f>CLEAN("303")</f>
        <v>303</v>
      </c>
    </row>
    <row r="2562" spans="1:9" x14ac:dyDescent="0.35">
      <c r="A2562" s="2" t="str">
        <f>CLEAN("GREEN")</f>
        <v>GREEN</v>
      </c>
      <c r="B2562" s="2" t="str">
        <f>CLEAN("TOWN OF BROOKLYN")</f>
        <v>TOWN OF BROOKLYN</v>
      </c>
      <c r="C2562" s="2" t="s">
        <v>203</v>
      </c>
      <c r="D2562" s="2" t="str">
        <f>CLEAN("5716-00-75")</f>
        <v>5716-00-75</v>
      </c>
      <c r="E2562" s="3" t="str">
        <f>CLEAN("T OF BROOKLYN  ALPINE ROAD")</f>
        <v>T OF BROOKLYN  ALPINE ROAD</v>
      </c>
      <c r="F2562" s="3" t="str">
        <f>CLEAN("W. TERMINI TO GLENWAY RD")</f>
        <v>W. TERMINI TO GLENWAY RD</v>
      </c>
      <c r="G2562" s="3" t="str">
        <f>CLEAN("CONST OPS/PAVEMENT REPLACEMENT")</f>
        <v>CONST OPS/PAVEMENT REPLACEMENT</v>
      </c>
      <c r="H2562" s="2" t="str">
        <f t="shared" ref="H2562:H2593" si="399">CLEAN("LOC STR")</f>
        <v>LOC STR</v>
      </c>
      <c r="I2562" s="2" t="str">
        <f>CLEAN("206")</f>
        <v>206</v>
      </c>
    </row>
    <row r="2563" spans="1:9" x14ac:dyDescent="0.35">
      <c r="A2563" s="2" t="str">
        <f>CLEAN("TAYLOR")</f>
        <v>TAYLOR</v>
      </c>
      <c r="B2563" s="2" t="str">
        <f>CLEAN("TOWN OF BROWNING")</f>
        <v>TOWN OF BROWNING</v>
      </c>
      <c r="C2563" s="2" t="s">
        <v>1445</v>
      </c>
      <c r="D2563" s="2" t="str">
        <f>CLEAN("9547-00-00")</f>
        <v>9547-00-00</v>
      </c>
      <c r="E2563" s="3" t="str">
        <f>CLEAN("T BROWNING  GRAHL DRIVE")</f>
        <v>T BROWNING  GRAHL DRIVE</v>
      </c>
      <c r="F2563" s="3" t="str">
        <f>CLEAN("E BR LITTLE BLACK RIV BRG P-60-0115")</f>
        <v>E BR LITTLE BLACK RIV BRG P-60-0115</v>
      </c>
      <c r="G2563" s="3" t="str">
        <f>CLEAN("DESIGN - FULL PS&amp;E BRRPL")</f>
        <v>DESIGN - FULL PS&amp;E BRRPL</v>
      </c>
      <c r="H2563" s="2" t="str">
        <f t="shared" si="399"/>
        <v>LOC STR</v>
      </c>
      <c r="I2563" s="2" t="str">
        <f>CLEAN("205")</f>
        <v>205</v>
      </c>
    </row>
    <row r="2564" spans="1:9" x14ac:dyDescent="0.35">
      <c r="A2564" s="2" t="str">
        <f>CLEAN("TAYLOR")</f>
        <v>TAYLOR</v>
      </c>
      <c r="B2564" s="2" t="str">
        <f>CLEAN("TOWN OF BROWNING")</f>
        <v>TOWN OF BROWNING</v>
      </c>
      <c r="C2564" s="2" t="s">
        <v>1175</v>
      </c>
      <c r="D2564" s="2" t="str">
        <f>CLEAN("9547-00-70")</f>
        <v>9547-00-70</v>
      </c>
      <c r="E2564" s="3" t="str">
        <f>CLEAN("T BROWNING  GRAHL DRIVE")</f>
        <v>T BROWNING  GRAHL DRIVE</v>
      </c>
      <c r="F2564" s="3" t="str">
        <f>CLEAN("E BR LITTLE BLACK RIV BRG B-60-0156")</f>
        <v>E BR LITTLE BLACK RIV BRG B-60-0156</v>
      </c>
      <c r="G2564" s="3" t="str">
        <f>CLEAN("CONSTRUCTION/BRIDGE REPLACEMENT")</f>
        <v>CONSTRUCTION/BRIDGE REPLACEMENT</v>
      </c>
      <c r="H2564" s="2" t="str">
        <f t="shared" si="399"/>
        <v>LOC STR</v>
      </c>
      <c r="I2564" s="2" t="str">
        <f>CLEAN("205")</f>
        <v>205</v>
      </c>
    </row>
    <row r="2565" spans="1:9" x14ac:dyDescent="0.35">
      <c r="A2565" s="2" t="str">
        <f>CLEAN("DOUGLAS")</f>
        <v>DOUGLAS</v>
      </c>
      <c r="B2565" s="2" t="str">
        <f>CLEAN("TOWN OF BRULE")</f>
        <v>TOWN OF BRULE</v>
      </c>
      <c r="C2565" s="2" t="s">
        <v>2329</v>
      </c>
      <c r="D2565" s="2" t="str">
        <f>CLEAN("8383-00-00")</f>
        <v>8383-00-00</v>
      </c>
      <c r="E2565" s="3" t="str">
        <f>CLEAN("T BRULE  AFTER HOURS ROAD")</f>
        <v>T BRULE  AFTER HOURS ROAD</v>
      </c>
      <c r="F2565" s="3" t="str">
        <f>CLEAN("NEBAGAMON CREEK BRIDGE P-16-0091")</f>
        <v>NEBAGAMON CREEK BRIDGE P-16-0091</v>
      </c>
      <c r="G2565" s="3" t="str">
        <f>CLEAN("DESIGN-FULL PS&amp;E/BRIDGE REPLACEMENT")</f>
        <v>DESIGN-FULL PS&amp;E/BRIDGE REPLACEMENT</v>
      </c>
      <c r="H2565" s="2" t="str">
        <f t="shared" si="399"/>
        <v>LOC STR</v>
      </c>
      <c r="I2565" s="2" t="str">
        <f>CLEAN("205")</f>
        <v>205</v>
      </c>
    </row>
    <row r="2566" spans="1:9" x14ac:dyDescent="0.35">
      <c r="A2566" s="2" t="str">
        <f>CLEAN("DOUGLAS")</f>
        <v>DOUGLAS</v>
      </c>
      <c r="B2566" s="2" t="str">
        <f>CLEAN("TOWN OF BRULE")</f>
        <v>TOWN OF BRULE</v>
      </c>
      <c r="C2566" s="2" t="s">
        <v>1196</v>
      </c>
      <c r="D2566" s="2" t="str">
        <f>CLEAN("8383-00-70")</f>
        <v>8383-00-70</v>
      </c>
      <c r="E2566" s="3" t="str">
        <f>CLEAN("T BRULE  AFTER HOURS ROAD")</f>
        <v>T BRULE  AFTER HOURS ROAD</v>
      </c>
      <c r="F2566" s="3" t="str">
        <f>CLEAN("NEBAGAMON CREEK BRIDGE B-16-0152")</f>
        <v>NEBAGAMON CREEK BRIDGE B-16-0152</v>
      </c>
      <c r="G2566" s="3" t="str">
        <f>CLEAN("CONSTRUCTION/BRIDGE REPLACEMENT")</f>
        <v>CONSTRUCTION/BRIDGE REPLACEMENT</v>
      </c>
      <c r="H2566" s="2" t="str">
        <f t="shared" si="399"/>
        <v>LOC STR</v>
      </c>
      <c r="I2566" s="2" t="str">
        <f>CLEAN("205")</f>
        <v>205</v>
      </c>
    </row>
    <row r="2567" spans="1:9" x14ac:dyDescent="0.35">
      <c r="A2567" s="2" t="str">
        <f>CLEAN("OUTAGAMIE")</f>
        <v>OUTAGAMIE</v>
      </c>
      <c r="B2567" s="2" t="str">
        <f>CLEAN("TOWN OF BUCHANAN")</f>
        <v>TOWN OF BUCHANAN</v>
      </c>
      <c r="C2567" s="2" t="s">
        <v>2434</v>
      </c>
      <c r="D2567" s="2" t="str">
        <f>CLEAN("4656-09-00")</f>
        <v>4656-09-00</v>
      </c>
      <c r="E2567" s="3" t="str">
        <f>CLEAN("T BUCHANAN  EISENHOWER DRIVE TRAIL")</f>
        <v>T BUCHANAN  EISENHOWER DRIVE TRAIL</v>
      </c>
      <c r="F2567" s="3" t="str">
        <f>CLEAN("CTH KK - THEATER WAY")</f>
        <v>CTH KK - THEATER WAY</v>
      </c>
      <c r="G2567" s="3" t="str">
        <f>CLEAN("DSGN/MISC BIKE/PED TRAIL")</f>
        <v>DSGN/MISC BIKE/PED TRAIL</v>
      </c>
      <c r="H2567" s="2" t="str">
        <f t="shared" si="399"/>
        <v>LOC STR</v>
      </c>
      <c r="I2567" s="2" t="str">
        <f>CLEAN("290")</f>
        <v>290</v>
      </c>
    </row>
    <row r="2568" spans="1:9" x14ac:dyDescent="0.35">
      <c r="A2568" s="2" t="str">
        <f>CLEAN("OUTAGAMIE")</f>
        <v>OUTAGAMIE</v>
      </c>
      <c r="B2568" s="2" t="str">
        <f>CLEAN("TOWN OF BUCHANAN")</f>
        <v>TOWN OF BUCHANAN</v>
      </c>
      <c r="C2568" s="2" t="s">
        <v>178</v>
      </c>
      <c r="D2568" s="2" t="str">
        <f>CLEAN("4656-09-70")</f>
        <v>4656-09-70</v>
      </c>
      <c r="E2568" s="3" t="str">
        <f>CLEAN("T BUCHANAN  EISENHOWER DRIVE TRAIL")</f>
        <v>T BUCHANAN  EISENHOWER DRIVE TRAIL</v>
      </c>
      <c r="F2568" s="3" t="str">
        <f>CLEAN("CTH KK - THEATER WAY")</f>
        <v>CTH KK - THEATER WAY</v>
      </c>
      <c r="G2568" s="3" t="str">
        <f>CLEAN("CONST OPS/MISC BIKE/PED TRAIL")</f>
        <v>CONST OPS/MISC BIKE/PED TRAIL</v>
      </c>
      <c r="H2568" s="2" t="str">
        <f t="shared" si="399"/>
        <v>LOC STR</v>
      </c>
      <c r="I2568" s="2" t="str">
        <f>CLEAN("290")</f>
        <v>290</v>
      </c>
    </row>
    <row r="2569" spans="1:9" x14ac:dyDescent="0.35">
      <c r="A2569" s="2" t="str">
        <f>CLEAN("DANE")</f>
        <v>DANE</v>
      </c>
      <c r="B2569" s="2" t="str">
        <f>CLEAN("TOWN OF BURKE")</f>
        <v>TOWN OF BURKE</v>
      </c>
      <c r="C2569" s="2" t="s">
        <v>1482</v>
      </c>
      <c r="D2569" s="2" t="str">
        <f>CLEAN("3665-00-00")</f>
        <v>3665-00-00</v>
      </c>
      <c r="E2569" s="3" t="str">
        <f>CLEAN("T BURKE  DAENTL ROAD")</f>
        <v>T BURKE  DAENTL ROAD</v>
      </c>
      <c r="F2569" s="3" t="str">
        <f>CLEAN("TOKEN CREEK BRIDGE B-13-0096")</f>
        <v>TOKEN CREEK BRIDGE B-13-0096</v>
      </c>
      <c r="G2569" s="3" t="str">
        <f>CLEAN("DESIGN - FULL PS&amp;E BRRPL")</f>
        <v>DESIGN - FULL PS&amp;E BRRPL</v>
      </c>
      <c r="H2569" s="2" t="str">
        <f t="shared" si="399"/>
        <v>LOC STR</v>
      </c>
      <c r="I2569" s="2" t="str">
        <f>CLEAN("205")</f>
        <v>205</v>
      </c>
    </row>
    <row r="2570" spans="1:9" x14ac:dyDescent="0.35">
      <c r="A2570" s="2" t="str">
        <f>CLEAN("DANE")</f>
        <v>DANE</v>
      </c>
      <c r="B2570" s="2" t="str">
        <f>CLEAN("TOWN OF BURKE")</f>
        <v>TOWN OF BURKE</v>
      </c>
      <c r="C2570" s="2" t="s">
        <v>134</v>
      </c>
      <c r="D2570" s="2" t="str">
        <f>CLEAN("3665-00-70")</f>
        <v>3665-00-70</v>
      </c>
      <c r="E2570" s="3" t="str">
        <f>CLEAN("TOWN BURKE  DAENTL ROAD")</f>
        <v>TOWN BURKE  DAENTL ROAD</v>
      </c>
      <c r="F2570" s="3" t="str">
        <f>CLEAN("TOKEN CREEK BRIDGE B-13-0912")</f>
        <v>TOKEN CREEK BRIDGE B-13-0912</v>
      </c>
      <c r="G2570" s="3" t="str">
        <f>CLEAN("CONST OPS/BRIDGE REPLACEMENT")</f>
        <v>CONST OPS/BRIDGE REPLACEMENT</v>
      </c>
      <c r="H2570" s="2" t="str">
        <f t="shared" si="399"/>
        <v>LOC STR</v>
      </c>
      <c r="I2570" s="2" t="str">
        <f>CLEAN("205")</f>
        <v>205</v>
      </c>
    </row>
    <row r="2571" spans="1:9" x14ac:dyDescent="0.35">
      <c r="A2571" s="2" t="str">
        <f t="shared" ref="A2571:A2578" si="400">CLEAN("RACINE")</f>
        <v>RACINE</v>
      </c>
      <c r="B2571" s="2" t="str">
        <f t="shared" ref="B2571:B2578" si="401">CLEAN("TOWN OF BURLINGTON")</f>
        <v>TOWN OF BURLINGTON</v>
      </c>
      <c r="C2571" s="2" t="s">
        <v>2794</v>
      </c>
      <c r="D2571" s="2" t="str">
        <f>CLEAN("3834-05-01")</f>
        <v>3834-05-01</v>
      </c>
      <c r="E2571" s="3" t="str">
        <f>CLEAN("T BURLINGTON  MT TOM RD")</f>
        <v>T BURLINGTON  MT TOM RD</v>
      </c>
      <c r="F2571" s="3" t="str">
        <f>CLEAN("HOOSIER CREEK BRIDGE P51-0911")</f>
        <v>HOOSIER CREEK BRIDGE P51-0911</v>
      </c>
      <c r="G2571" s="3" t="str">
        <f>CLEAN("PE/FULL PS/BRRPL")</f>
        <v>PE/FULL PS/BRRPL</v>
      </c>
      <c r="H2571" s="2" t="str">
        <f t="shared" si="399"/>
        <v>LOC STR</v>
      </c>
      <c r="I2571" s="2" t="str">
        <f>CLEAN("205")</f>
        <v>205</v>
      </c>
    </row>
    <row r="2572" spans="1:9" x14ac:dyDescent="0.35">
      <c r="A2572" s="2" t="str">
        <f t="shared" si="400"/>
        <v>RACINE</v>
      </c>
      <c r="B2572" s="2" t="str">
        <f t="shared" si="401"/>
        <v>TOWN OF BURLINGTON</v>
      </c>
      <c r="C2572" s="2" t="s">
        <v>2834</v>
      </c>
      <c r="D2572" s="2" t="str">
        <f>CLEAN("3834-05-02")</f>
        <v>3834-05-02</v>
      </c>
      <c r="E2572" s="3" t="str">
        <f>CLEAN("T BURLINGTON  SPRING PRAIRIE RD")</f>
        <v>T BURLINGTON  SPRING PRAIRIE RD</v>
      </c>
      <c r="F2572" s="3" t="str">
        <f>CLEAN("HONEY CREEK BRIDGE P51-0052")</f>
        <v>HONEY CREEK BRIDGE P51-0052</v>
      </c>
      <c r="G2572" s="3" t="str">
        <f>CLEAN("PE/FULL PSE/BRIDGE REPLACEMENT")</f>
        <v>PE/FULL PSE/BRIDGE REPLACEMENT</v>
      </c>
      <c r="H2572" s="2" t="str">
        <f t="shared" si="399"/>
        <v>LOC STR</v>
      </c>
      <c r="I2572" s="2" t="str">
        <f>CLEAN("205")</f>
        <v>205</v>
      </c>
    </row>
    <row r="2573" spans="1:9" x14ac:dyDescent="0.35">
      <c r="A2573" s="2" t="str">
        <f t="shared" si="400"/>
        <v>RACINE</v>
      </c>
      <c r="B2573" s="2" t="str">
        <f t="shared" si="401"/>
        <v>TOWN OF BURLINGTON</v>
      </c>
      <c r="C2573" s="2" t="s">
        <v>2814</v>
      </c>
      <c r="D2573" s="2" t="str">
        <f>CLEAN("3833-05-00")</f>
        <v>3833-05-00</v>
      </c>
      <c r="E2573" s="3" t="str">
        <f>CLEAN("T BURLINGTON  KETTERHAGEN RD")</f>
        <v>T BURLINGTON  KETTERHAGEN RD</v>
      </c>
      <c r="F2573" s="3" t="str">
        <f>CLEAN("CTH W TO STH 36/83")</f>
        <v>CTH W TO STH 36/83</v>
      </c>
      <c r="G2573" s="3" t="str">
        <f>CLEAN("PE/FULL PS/RCND10")</f>
        <v>PE/FULL PS/RCND10</v>
      </c>
      <c r="H2573" s="2" t="str">
        <f t="shared" si="399"/>
        <v>LOC STR</v>
      </c>
      <c r="I2573" s="2" t="str">
        <f>CLEAN("206")</f>
        <v>206</v>
      </c>
    </row>
    <row r="2574" spans="1:9" x14ac:dyDescent="0.35">
      <c r="A2574" s="2" t="str">
        <f t="shared" si="400"/>
        <v>RACINE</v>
      </c>
      <c r="B2574" s="2" t="str">
        <f t="shared" si="401"/>
        <v>TOWN OF BURLINGTON</v>
      </c>
      <c r="C2574" s="2" t="s">
        <v>735</v>
      </c>
      <c r="D2574" s="2" t="str">
        <f>CLEAN("3833-05-70")</f>
        <v>3833-05-70</v>
      </c>
      <c r="E2574" s="3" t="str">
        <f>CLEAN("T BURLINGTON  KETTERHAGEN RD")</f>
        <v>T BURLINGTON  KETTERHAGEN RD</v>
      </c>
      <c r="F2574" s="3" t="str">
        <f>CLEAN("CTH W TO STH 36/83")</f>
        <v>CTH W TO STH 36/83</v>
      </c>
      <c r="G2574" s="3" t="str">
        <f>CLEAN("CONST/RCND10")</f>
        <v>CONST/RCND10</v>
      </c>
      <c r="H2574" s="2" t="str">
        <f t="shared" si="399"/>
        <v>LOC STR</v>
      </c>
      <c r="I2574" s="2" t="str">
        <f>CLEAN("206")</f>
        <v>206</v>
      </c>
    </row>
    <row r="2575" spans="1:9" x14ac:dyDescent="0.35">
      <c r="A2575" s="2" t="str">
        <f t="shared" si="400"/>
        <v>RACINE</v>
      </c>
      <c r="B2575" s="2" t="str">
        <f t="shared" si="401"/>
        <v>TOWN OF BURLINGTON</v>
      </c>
      <c r="C2575" s="2" t="s">
        <v>2815</v>
      </c>
      <c r="D2575" s="2" t="str">
        <f>CLEAN("3834-00-03")</f>
        <v>3834-00-03</v>
      </c>
      <c r="E2575" s="3" t="str">
        <f>CLEAN("T BURLINGTON  BOHNER DR")</f>
        <v>T BURLINGTON  BOHNER DR</v>
      </c>
      <c r="F2575" s="3" t="str">
        <f>CLEAN("FISHMAN RD TO FISH HATCHERY RD")</f>
        <v>FISHMAN RD TO FISH HATCHERY RD</v>
      </c>
      <c r="G2575" s="3" t="str">
        <f>CLEAN("PE/FULL PS/RCND10")</f>
        <v>PE/FULL PS/RCND10</v>
      </c>
      <c r="H2575" s="2" t="str">
        <f t="shared" si="399"/>
        <v>LOC STR</v>
      </c>
      <c r="I2575" s="2" t="str">
        <f>CLEAN("206")</f>
        <v>206</v>
      </c>
    </row>
    <row r="2576" spans="1:9" x14ac:dyDescent="0.35">
      <c r="A2576" s="2" t="str">
        <f t="shared" si="400"/>
        <v>RACINE</v>
      </c>
      <c r="B2576" s="2" t="str">
        <f t="shared" si="401"/>
        <v>TOWN OF BURLINGTON</v>
      </c>
      <c r="C2576" s="2" t="s">
        <v>736</v>
      </c>
      <c r="D2576" s="2" t="str">
        <f>CLEAN("3834-00-73")</f>
        <v>3834-00-73</v>
      </c>
      <c r="E2576" s="3" t="str">
        <f>CLEAN("T BURLINGTON  BOHNER DR")</f>
        <v>T BURLINGTON  BOHNER DR</v>
      </c>
      <c r="F2576" s="3" t="str">
        <f>CLEAN("FISHMAN RD TO FISH HATCHERY RD")</f>
        <v>FISHMAN RD TO FISH HATCHERY RD</v>
      </c>
      <c r="G2576" s="3" t="str">
        <f>CLEAN("CONST/RCND10")</f>
        <v>CONST/RCND10</v>
      </c>
      <c r="H2576" s="2" t="str">
        <f t="shared" si="399"/>
        <v>LOC STR</v>
      </c>
      <c r="I2576" s="2" t="str">
        <f>CLEAN("206")</f>
        <v>206</v>
      </c>
    </row>
    <row r="2577" spans="1:9" x14ac:dyDescent="0.35">
      <c r="A2577" s="2" t="str">
        <f t="shared" si="400"/>
        <v>RACINE</v>
      </c>
      <c r="B2577" s="2" t="str">
        <f t="shared" si="401"/>
        <v>TOWN OF BURLINGTON</v>
      </c>
      <c r="C2577" s="2" t="s">
        <v>506</v>
      </c>
      <c r="D2577" s="2" t="str">
        <f>CLEAN("3834-05-71")</f>
        <v>3834-05-71</v>
      </c>
      <c r="E2577" s="3" t="str">
        <f>CLEAN("T BURLINGTON  MT TOM RD")</f>
        <v>T BURLINGTON  MT TOM RD</v>
      </c>
      <c r="F2577" s="3" t="str">
        <f>CLEAN("HOOSIER CREEK BRIDGE P51-0911")</f>
        <v>HOOSIER CREEK BRIDGE P51-0911</v>
      </c>
      <c r="G2577" s="3" t="str">
        <f>CLEAN("CONST/BRRPL")</f>
        <v>CONST/BRRPL</v>
      </c>
      <c r="H2577" s="2" t="str">
        <f t="shared" si="399"/>
        <v>LOC STR</v>
      </c>
      <c r="I2577" s="2" t="str">
        <f t="shared" ref="I2577:I2582" si="402">CLEAN("205")</f>
        <v>205</v>
      </c>
    </row>
    <row r="2578" spans="1:9" x14ac:dyDescent="0.35">
      <c r="A2578" s="2" t="str">
        <f t="shared" si="400"/>
        <v>RACINE</v>
      </c>
      <c r="B2578" s="2" t="str">
        <f t="shared" si="401"/>
        <v>TOWN OF BURLINGTON</v>
      </c>
      <c r="C2578" s="2" t="s">
        <v>441</v>
      </c>
      <c r="D2578" s="2" t="str">
        <f>CLEAN("3834-05-72")</f>
        <v>3834-05-72</v>
      </c>
      <c r="E2578" s="3" t="str">
        <f>CLEAN("T BURLINGTON  SPRING PRAIRIE RD")</f>
        <v>T BURLINGTON  SPRING PRAIRIE RD</v>
      </c>
      <c r="F2578" s="3" t="str">
        <f>CLEAN("HONEY CREEK BRIDGE P51-0052")</f>
        <v>HONEY CREEK BRIDGE P51-0052</v>
      </c>
      <c r="G2578" s="3" t="str">
        <f>CLEAN("CONST/BRIDGE REPLACEMENT")</f>
        <v>CONST/BRIDGE REPLACEMENT</v>
      </c>
      <c r="H2578" s="2" t="str">
        <f t="shared" si="399"/>
        <v>LOC STR</v>
      </c>
      <c r="I2578" s="2" t="str">
        <f t="shared" si="402"/>
        <v>205</v>
      </c>
    </row>
    <row r="2579" spans="1:9" x14ac:dyDescent="0.35">
      <c r="A2579" s="2" t="str">
        <f>CLEAN("MARATHON")</f>
        <v>MARATHON</v>
      </c>
      <c r="B2579" s="2" t="str">
        <f>CLEAN("TOWN OF CASSEL")</f>
        <v>TOWN OF CASSEL</v>
      </c>
      <c r="C2579" s="2" t="s">
        <v>1959</v>
      </c>
      <c r="D2579" s="2" t="str">
        <f>CLEAN("6673-02-02")</f>
        <v>6673-02-02</v>
      </c>
      <c r="E2579" s="3" t="str">
        <f>CLEAN("T CASSEL  CHESAK ROAD")</f>
        <v>T CASSEL  CHESAK ROAD</v>
      </c>
      <c r="F2579" s="3" t="str">
        <f>CLEAN("BR SCOTCH CREEK CROSSING P-37-0249")</f>
        <v>BR SCOTCH CREEK CROSSING P-37-0249</v>
      </c>
      <c r="G2579" s="3" t="str">
        <f>CLEAN("DESIGN/FULL PSE/REPLACEMENT")</f>
        <v>DESIGN/FULL PSE/REPLACEMENT</v>
      </c>
      <c r="H2579" s="2" t="str">
        <f t="shared" si="399"/>
        <v>LOC STR</v>
      </c>
      <c r="I2579" s="2" t="str">
        <f t="shared" si="402"/>
        <v>205</v>
      </c>
    </row>
    <row r="2580" spans="1:9" x14ac:dyDescent="0.35">
      <c r="A2580" s="2" t="str">
        <f>CLEAN("MARATHON")</f>
        <v>MARATHON</v>
      </c>
      <c r="B2580" s="2" t="str">
        <f>CLEAN("TOWN OF CASSEL")</f>
        <v>TOWN OF CASSEL</v>
      </c>
      <c r="C2580" s="2" t="s">
        <v>886</v>
      </c>
      <c r="D2580" s="2" t="str">
        <f>CLEAN("6673-02-72")</f>
        <v>6673-02-72</v>
      </c>
      <c r="E2580" s="3" t="str">
        <f>CLEAN("T CASSEL  CHESAK ROAD")</f>
        <v>T CASSEL  CHESAK ROAD</v>
      </c>
      <c r="F2580" s="3" t="str">
        <f>CLEAN("BR SCOTCH CREEK CROSSING B-37-0479")</f>
        <v>BR SCOTCH CREEK CROSSING B-37-0479</v>
      </c>
      <c r="G2580" s="3" t="str">
        <f>CLEAN("CONST/REPLACEMENT")</f>
        <v>CONST/REPLACEMENT</v>
      </c>
      <c r="H2580" s="2" t="str">
        <f t="shared" si="399"/>
        <v>LOC STR</v>
      </c>
      <c r="I2580" s="2" t="str">
        <f t="shared" si="402"/>
        <v>205</v>
      </c>
    </row>
    <row r="2581" spans="1:9" x14ac:dyDescent="0.35">
      <c r="A2581" s="2" t="str">
        <f>CLEAN("OZAUKEE")</f>
        <v>OZAUKEE</v>
      </c>
      <c r="B2581" s="2" t="str">
        <f>CLEAN("TOWN OF CEDARBURG")</f>
        <v>TOWN OF CEDARBURG</v>
      </c>
      <c r="C2581" s="2" t="s">
        <v>2728</v>
      </c>
      <c r="D2581" s="2" t="str">
        <f>CLEAN("2695-03-02")</f>
        <v>2695-03-02</v>
      </c>
      <c r="E2581" s="3" t="str">
        <f>CLEAN("T CEDARBURG  CEDAR CREEK RD")</f>
        <v>T CEDARBURG  CEDAR CREEK RD</v>
      </c>
      <c r="F2581" s="3" t="str">
        <f>CLEAN("CEDAR CREEK BRIDGE P45-0038")</f>
        <v>CEDAR CREEK BRIDGE P45-0038</v>
      </c>
      <c r="G2581" s="3" t="str">
        <f>CLEAN("PE/FULL PS&amp;E/BRRPL")</f>
        <v>PE/FULL PS&amp;E/BRRPL</v>
      </c>
      <c r="H2581" s="2" t="str">
        <f t="shared" si="399"/>
        <v>LOC STR</v>
      </c>
      <c r="I2581" s="2" t="str">
        <f t="shared" si="402"/>
        <v>205</v>
      </c>
    </row>
    <row r="2582" spans="1:9" x14ac:dyDescent="0.35">
      <c r="A2582" s="2" t="str">
        <f>CLEAN("OZAUKEE")</f>
        <v>OZAUKEE</v>
      </c>
      <c r="B2582" s="2" t="str">
        <f>CLEAN("TOWN OF CEDARBURG")</f>
        <v>TOWN OF CEDARBURG</v>
      </c>
      <c r="C2582" s="2" t="s">
        <v>502</v>
      </c>
      <c r="D2582" s="2" t="str">
        <f>CLEAN("2695-03-72")</f>
        <v>2695-03-72</v>
      </c>
      <c r="E2582" s="3" t="str">
        <f>CLEAN("T CEDARBURG  CEDAR CREEK RD")</f>
        <v>T CEDARBURG  CEDAR CREEK RD</v>
      </c>
      <c r="F2582" s="3" t="str">
        <f>CLEAN("CEDAR CREEK BRIDGE  P45-0038")</f>
        <v>CEDAR CREEK BRIDGE  P45-0038</v>
      </c>
      <c r="G2582" s="3" t="str">
        <f>CLEAN("CONST/BRRPL")</f>
        <v>CONST/BRRPL</v>
      </c>
      <c r="H2582" s="2" t="str">
        <f t="shared" si="399"/>
        <v>LOC STR</v>
      </c>
      <c r="I2582" s="2" t="str">
        <f t="shared" si="402"/>
        <v>205</v>
      </c>
    </row>
    <row r="2583" spans="1:9" x14ac:dyDescent="0.35">
      <c r="A2583" s="2" t="str">
        <f>CLEAN("OZAUKEE")</f>
        <v>OZAUKEE</v>
      </c>
      <c r="B2583" s="2" t="str">
        <f>CLEAN("TOWN OF CEDARBURG")</f>
        <v>TOWN OF CEDARBURG</v>
      </c>
      <c r="C2583" s="2" t="s">
        <v>659</v>
      </c>
      <c r="D2583" s="2" t="str">
        <f>CLEAN("2695-05-71")</f>
        <v>2695-05-71</v>
      </c>
      <c r="E2583" s="3" t="str">
        <f>CLEAN("T CEDARBURG  CEDAR SAUK ROAD")</f>
        <v>T CEDARBURG  CEDAR SAUK ROAD</v>
      </c>
      <c r="F2583" s="3" t="str">
        <f>CLEAN("CTH Y - NORTHWOOD DR")</f>
        <v>CTH Y - NORTHWOOD DR</v>
      </c>
      <c r="G2583" s="3" t="str">
        <f>CLEAN("CONST/PAVEMENT REPLACEMENT")</f>
        <v>CONST/PAVEMENT REPLACEMENT</v>
      </c>
      <c r="H2583" s="2" t="str">
        <f t="shared" si="399"/>
        <v>LOC STR</v>
      </c>
      <c r="I2583" s="2" t="str">
        <f>CLEAN("206")</f>
        <v>206</v>
      </c>
    </row>
    <row r="2584" spans="1:9" x14ac:dyDescent="0.35">
      <c r="A2584" s="2" t="str">
        <f>CLEAN("OZAUKEE")</f>
        <v>OZAUKEE</v>
      </c>
      <c r="B2584" s="2" t="str">
        <f>CLEAN("TOWN OF CEDARBURG")</f>
        <v>TOWN OF CEDARBURG</v>
      </c>
      <c r="C2584" s="2" t="s">
        <v>2641</v>
      </c>
      <c r="D2584" s="2" t="str">
        <f>CLEAN("2695-11-00")</f>
        <v>2695-11-00</v>
      </c>
      <c r="E2584" s="3" t="str">
        <f>CLEAN("COVERED BRIDGE ROAD")</f>
        <v>COVERED BRIDGE ROAD</v>
      </c>
      <c r="F2584" s="3" t="str">
        <f>CLEAN("BRIDGE OVER CEDAR CREEK B-45-0013")</f>
        <v>BRIDGE OVER CEDAR CREEK B-45-0013</v>
      </c>
      <c r="G2584" s="3" t="str">
        <f>CLEAN("PE/BRIDGE REPLACEMENT")</f>
        <v>PE/BRIDGE REPLACEMENT</v>
      </c>
      <c r="H2584" s="2" t="str">
        <f t="shared" si="399"/>
        <v>LOC STR</v>
      </c>
      <c r="I2584" s="2" t="str">
        <f t="shared" ref="I2584:I2590" si="403">CLEAN("205")</f>
        <v>205</v>
      </c>
    </row>
    <row r="2585" spans="1:9" x14ac:dyDescent="0.35">
      <c r="A2585" s="2" t="str">
        <f>CLEAN("OZAUKEE")</f>
        <v>OZAUKEE</v>
      </c>
      <c r="B2585" s="2" t="str">
        <f>CLEAN("TOWN OF CEDARBURG")</f>
        <v>TOWN OF CEDARBURG</v>
      </c>
      <c r="C2585" s="2" t="s">
        <v>415</v>
      </c>
      <c r="D2585" s="2" t="str">
        <f>CLEAN("2695-11-70")</f>
        <v>2695-11-70</v>
      </c>
      <c r="E2585" s="3" t="str">
        <f>CLEAN("COVERED BRIDGE ROAD")</f>
        <v>COVERED BRIDGE ROAD</v>
      </c>
      <c r="F2585" s="3" t="str">
        <f>CLEAN("BRIDGE OVER CEDAR CREEK B-45-0013")</f>
        <v>BRIDGE OVER CEDAR CREEK B-45-0013</v>
      </c>
      <c r="G2585" s="3" t="str">
        <f>CLEAN("CONST/BRIDGE REPLACEMENT")</f>
        <v>CONST/BRIDGE REPLACEMENT</v>
      </c>
      <c r="H2585" s="2" t="str">
        <f t="shared" si="399"/>
        <v>LOC STR</v>
      </c>
      <c r="I2585" s="2" t="str">
        <f t="shared" si="403"/>
        <v>205</v>
      </c>
    </row>
    <row r="2586" spans="1:9" x14ac:dyDescent="0.35">
      <c r="A2586" s="2" t="str">
        <f>CLEAN("OUTAGAMIE")</f>
        <v>OUTAGAMIE</v>
      </c>
      <c r="B2586" s="2" t="str">
        <f>CLEAN("TOWN OF CENTER")</f>
        <v>TOWN OF CENTER</v>
      </c>
      <c r="C2586" s="2" t="s">
        <v>2377</v>
      </c>
      <c r="D2586" s="2" t="str">
        <f>CLEAN("6504-00-00")</f>
        <v>6504-00-00</v>
      </c>
      <c r="E2586" s="3" t="str">
        <f>CLEAN("T CENTER  QUARRY ROAD")</f>
        <v>T CENTER  QUARRY ROAD</v>
      </c>
      <c r="F2586" s="3" t="str">
        <f>CLEAN("BEAR CREEK BRIDGE")</f>
        <v>BEAR CREEK BRIDGE</v>
      </c>
      <c r="G2586" s="3" t="str">
        <f>CLEAN("DSGN/FULL PSE/BRRPL/P-44-0937")</f>
        <v>DSGN/FULL PSE/BRRPL/P-44-0937</v>
      </c>
      <c r="H2586" s="2" t="str">
        <f t="shared" si="399"/>
        <v>LOC STR</v>
      </c>
      <c r="I2586" s="2" t="str">
        <f t="shared" si="403"/>
        <v>205</v>
      </c>
    </row>
    <row r="2587" spans="1:9" x14ac:dyDescent="0.35">
      <c r="A2587" s="2" t="str">
        <f>CLEAN("MARATHON")</f>
        <v>MARATHON</v>
      </c>
      <c r="B2587" s="2" t="str">
        <f>CLEAN("TOWN OF CLEVELAND")</f>
        <v>TOWN OF CLEVELAND</v>
      </c>
      <c r="C2587" s="2" t="s">
        <v>1724</v>
      </c>
      <c r="D2587" s="2" t="str">
        <f>CLEAN("6679-02-00")</f>
        <v>6679-02-00</v>
      </c>
      <c r="E2587" s="3" t="str">
        <f>CLEAN("T CLEVELAND  FAIRVIEW ROAD")</f>
        <v>T CLEVELAND  FAIRVIEW ROAD</v>
      </c>
      <c r="F2587" s="3" t="str">
        <f>CLEAN("ROCKY RUN BRIDGE  P-37-0044")</f>
        <v>ROCKY RUN BRIDGE  P-37-0044</v>
      </c>
      <c r="G2587" s="3" t="str">
        <f>CLEAN("DESIGN OVERSITE/REPLACEMENT")</f>
        <v>DESIGN OVERSITE/REPLACEMENT</v>
      </c>
      <c r="H2587" s="2" t="str">
        <f t="shared" si="399"/>
        <v>LOC STR</v>
      </c>
      <c r="I2587" s="2" t="str">
        <f t="shared" si="403"/>
        <v>205</v>
      </c>
    </row>
    <row r="2588" spans="1:9" x14ac:dyDescent="0.35">
      <c r="A2588" s="2" t="str">
        <f>CLEAN("MARATHON")</f>
        <v>MARATHON</v>
      </c>
      <c r="B2588" s="2" t="str">
        <f>CLEAN("TOWN OF CLEVELAND")</f>
        <v>TOWN OF CLEVELAND</v>
      </c>
      <c r="C2588" s="2" t="s">
        <v>922</v>
      </c>
      <c r="D2588" s="2" t="str">
        <f>CLEAN("6679-02-70")</f>
        <v>6679-02-70</v>
      </c>
      <c r="E2588" s="3" t="str">
        <f>CLEAN("T CLEVELAND  FAIRVIEW ROAD")</f>
        <v>T CLEVELAND  FAIRVIEW ROAD</v>
      </c>
      <c r="F2588" s="3" t="str">
        <f>CLEAN("ROCKY RUN BRIDGE  B-37-0483")</f>
        <v>ROCKY RUN BRIDGE  B-37-0483</v>
      </c>
      <c r="G2588" s="3" t="str">
        <f>CLEAN("CONST/REPLACEMENT")</f>
        <v>CONST/REPLACEMENT</v>
      </c>
      <c r="H2588" s="2" t="str">
        <f t="shared" si="399"/>
        <v>LOC STR</v>
      </c>
      <c r="I2588" s="2" t="str">
        <f t="shared" si="403"/>
        <v>205</v>
      </c>
    </row>
    <row r="2589" spans="1:9" x14ac:dyDescent="0.35">
      <c r="A2589" s="2" t="str">
        <f>CLEAN("CLARK")</f>
        <v>CLARK</v>
      </c>
      <c r="B2589" s="2" t="str">
        <f>CLEAN("TOWN OF COLBY")</f>
        <v>TOWN OF COLBY</v>
      </c>
      <c r="C2589" s="2" t="s">
        <v>1868</v>
      </c>
      <c r="D2589" s="2" t="str">
        <f>CLEAN("7837-00-01")</f>
        <v>7837-00-01</v>
      </c>
      <c r="E2589" s="3" t="str">
        <f>CLEAN("T COLBY  SANDHILL AVENUE")</f>
        <v>T COLBY  SANDHILL AVENUE</v>
      </c>
      <c r="F2589" s="3" t="str">
        <f>CLEAN("POPPLE RIVER BRIDGE P-10-0904")</f>
        <v>POPPLE RIVER BRIDGE P-10-0904</v>
      </c>
      <c r="G2589" s="3" t="str">
        <f>CLEAN("DESIGN/FULL PS&amp;E BRIDGE REPLACEMENT")</f>
        <v>DESIGN/FULL PS&amp;E BRIDGE REPLACEMENT</v>
      </c>
      <c r="H2589" s="2" t="str">
        <f t="shared" si="399"/>
        <v>LOC STR</v>
      </c>
      <c r="I2589" s="2" t="str">
        <f t="shared" si="403"/>
        <v>205</v>
      </c>
    </row>
    <row r="2590" spans="1:9" x14ac:dyDescent="0.35">
      <c r="A2590" s="2" t="str">
        <f>CLEAN("JEFFERSON")</f>
        <v>JEFFERSON</v>
      </c>
      <c r="B2590" s="2" t="str">
        <f>CLEAN("TOWN OF CONCORD")</f>
        <v>TOWN OF CONCORD</v>
      </c>
      <c r="C2590" s="2" t="s">
        <v>1475</v>
      </c>
      <c r="D2590" s="2" t="str">
        <f>CLEAN("3632-00-03")</f>
        <v>3632-00-03</v>
      </c>
      <c r="E2590" s="3" t="str">
        <f>CLEAN("T CONCORD  MORGANS RD")</f>
        <v>T CONCORD  MORGANS RD</v>
      </c>
      <c r="F2590" s="3" t="str">
        <f>CLEAN("OCONOMOWOC RIVER BRIDGE P-28-0090")</f>
        <v>OCONOMOWOC RIVER BRIDGE P-28-0090</v>
      </c>
      <c r="G2590" s="3" t="str">
        <f>CLEAN("DESIGN - FULL PS&amp;E BRRPL")</f>
        <v>DESIGN - FULL PS&amp;E BRRPL</v>
      </c>
      <c r="H2590" s="2" t="str">
        <f t="shared" si="399"/>
        <v>LOC STR</v>
      </c>
      <c r="I2590" s="2" t="str">
        <f t="shared" si="403"/>
        <v>205</v>
      </c>
    </row>
    <row r="2591" spans="1:9" x14ac:dyDescent="0.35">
      <c r="A2591" s="2" t="str">
        <f>CLEAN("VERNON")</f>
        <v>VERNON</v>
      </c>
      <c r="B2591" s="2" t="str">
        <f>CLEAN("TOWN OF COON")</f>
        <v>TOWN OF COON</v>
      </c>
      <c r="C2591" s="2" t="s">
        <v>2234</v>
      </c>
      <c r="D2591" s="2" t="str">
        <f>CLEAN("5378-00-07")</f>
        <v>5378-00-07</v>
      </c>
      <c r="E2591" s="3" t="str">
        <f>CLEAN("T COON  SVEUM RIDGE ROAD")</f>
        <v>T COON  SVEUM RIDGE ROAD</v>
      </c>
      <c r="F2591" s="3" t="str">
        <f>CLEAN("CTH B TO OLD MILL ROAD")</f>
        <v>CTH B TO OLD MILL ROAD</v>
      </c>
      <c r="G2591" s="3" t="str">
        <f>CLEAN("DESIGN/PLAN CHECK REVIEW/RSRF")</f>
        <v>DESIGN/PLAN CHECK REVIEW/RSRF</v>
      </c>
      <c r="H2591" s="2" t="str">
        <f t="shared" si="399"/>
        <v>LOC STR</v>
      </c>
      <c r="I2591" s="2" t="str">
        <f>CLEAN("206")</f>
        <v>206</v>
      </c>
    </row>
    <row r="2592" spans="1:9" x14ac:dyDescent="0.35">
      <c r="A2592" s="2" t="str">
        <f>CLEAN("DANE")</f>
        <v>DANE</v>
      </c>
      <c r="B2592" s="2" t="str">
        <f>CLEAN("TOWN OF COTTAGE GROVE")</f>
        <v>TOWN OF COTTAGE GROVE</v>
      </c>
      <c r="C2592" s="2" t="s">
        <v>1771</v>
      </c>
      <c r="D2592" s="2" t="str">
        <f>CLEAN("3625-00-03")</f>
        <v>3625-00-03</v>
      </c>
      <c r="E2592" s="3" t="str">
        <f>CLEAN("TOWN OF COTTAGE GROVE  FEMRITE DR")</f>
        <v>TOWN OF COTTAGE GROVE  FEMRITE DR</v>
      </c>
      <c r="F2592" s="3" t="str">
        <f>CLEAN("DOOR CREEK BRIDGE  P-13-0939")</f>
        <v>DOOR CREEK BRIDGE  P-13-0939</v>
      </c>
      <c r="G2592" s="3" t="str">
        <f>CLEAN("DESIGN/BRIDGE REPLACEMENT")</f>
        <v>DESIGN/BRIDGE REPLACEMENT</v>
      </c>
      <c r="H2592" s="2" t="str">
        <f t="shared" si="399"/>
        <v>LOC STR</v>
      </c>
      <c r="I2592" s="2" t="str">
        <f>CLEAN("205")</f>
        <v>205</v>
      </c>
    </row>
    <row r="2593" spans="1:9" x14ac:dyDescent="0.35">
      <c r="A2593" s="2" t="str">
        <f>CLEAN("DANE")</f>
        <v>DANE</v>
      </c>
      <c r="B2593" s="2" t="str">
        <f>CLEAN("TOWN OF CROSS PLAINS")</f>
        <v>TOWN OF CROSS PLAINS</v>
      </c>
      <c r="C2593" s="2" t="s">
        <v>1681</v>
      </c>
      <c r="D2593" s="2" t="str">
        <f>CLEAN("5572-00-03")</f>
        <v>5572-00-03</v>
      </c>
      <c r="E2593" s="3" t="str">
        <f>CLEAN("T CROSS PLAINS  OLD MILITARY ROAD")</f>
        <v>T CROSS PLAINS  OLD MILITARY ROAD</v>
      </c>
      <c r="F2593" s="3" t="str">
        <f>CLEAN("CURVE AT COYLE LANE")</f>
        <v>CURVE AT COYLE LANE</v>
      </c>
      <c r="G2593" s="3" t="str">
        <f>CLEAN("DESIGN - PLAN CHECK REVIEW/RECST")</f>
        <v>DESIGN - PLAN CHECK REVIEW/RECST</v>
      </c>
      <c r="H2593" s="2" t="str">
        <f t="shared" si="399"/>
        <v>LOC STR</v>
      </c>
      <c r="I2593" s="2" t="str">
        <f>CLEAN("206")</f>
        <v>206</v>
      </c>
    </row>
    <row r="2594" spans="1:9" x14ac:dyDescent="0.35">
      <c r="A2594" s="2" t="str">
        <f>CLEAN("BARRON")</f>
        <v>BARRON</v>
      </c>
      <c r="B2594" s="2" t="str">
        <f>CLEAN("TOWN OF CRYSTAL LAKE")</f>
        <v>TOWN OF CRYSTAL LAKE</v>
      </c>
      <c r="C2594" s="2" t="s">
        <v>1359</v>
      </c>
      <c r="D2594" s="2" t="str">
        <f>CLEAN("1550-04-78")</f>
        <v>1550-04-78</v>
      </c>
      <c r="E2594" s="3" t="str">
        <f>CLEAN("CLEAR LAKE - CUMBERLAND")</f>
        <v>CLEAR LAKE - CUMBERLAND</v>
      </c>
      <c r="F2594" s="3" t="str">
        <f>CLEAN("USH 8 E TO STH 48 W")</f>
        <v>USH 8 E TO STH 48 W</v>
      </c>
      <c r="G2594" s="3" t="str">
        <f>CLEAN("CONSTRUCTION/RESURFACE")</f>
        <v>CONSTRUCTION/RESURFACE</v>
      </c>
      <c r="H2594" s="2" t="str">
        <f>CLEAN("USH 063")</f>
        <v>USH 063</v>
      </c>
      <c r="I2594" s="2" t="str">
        <f>CLEAN("303")</f>
        <v>303</v>
      </c>
    </row>
    <row r="2595" spans="1:9" x14ac:dyDescent="0.35">
      <c r="A2595" s="2" t="str">
        <f>CLEAN("MARQUETTE")</f>
        <v>MARQUETTE</v>
      </c>
      <c r="B2595" s="2" t="str">
        <f>CLEAN("TOWN OF CRYSTAL LAKE")</f>
        <v>TOWN OF CRYSTAL LAKE</v>
      </c>
      <c r="C2595" s="2" t="s">
        <v>1976</v>
      </c>
      <c r="D2595" s="2" t="str">
        <f>CLEAN("6739-00-00")</f>
        <v>6739-00-00</v>
      </c>
      <c r="E2595" s="3" t="str">
        <f>CLEAN("T CRYSTAL LAKE  DOVER AVENUE")</f>
        <v>T CRYSTAL LAKE  DOVER AVENUE</v>
      </c>
      <c r="F2595" s="3" t="str">
        <f>CLEAN("MECAN RIVER BRIDGE P-39-0025")</f>
        <v>MECAN RIVER BRIDGE P-39-0025</v>
      </c>
      <c r="G2595" s="3" t="str">
        <f>CLEAN("DESIGN/FULL PSE/REPLACEMENT")</f>
        <v>DESIGN/FULL PSE/REPLACEMENT</v>
      </c>
      <c r="H2595" s="2" t="str">
        <f t="shared" ref="H2595:H2602" si="404">CLEAN("LOC STR")</f>
        <v>LOC STR</v>
      </c>
      <c r="I2595" s="2" t="str">
        <f>CLEAN("205")</f>
        <v>205</v>
      </c>
    </row>
    <row r="2596" spans="1:9" x14ac:dyDescent="0.35">
      <c r="A2596" s="2" t="str">
        <f>CLEAN("MARQUETTE")</f>
        <v>MARQUETTE</v>
      </c>
      <c r="B2596" s="2" t="str">
        <f>CLEAN("TOWN OF CRYSTAL LAKE")</f>
        <v>TOWN OF CRYSTAL LAKE</v>
      </c>
      <c r="C2596" s="2" t="s">
        <v>906</v>
      </c>
      <c r="D2596" s="2" t="str">
        <f>CLEAN("6739-00-70")</f>
        <v>6739-00-70</v>
      </c>
      <c r="E2596" s="3" t="str">
        <f>CLEAN("T CRYSTAL LAKE  DOVER AVENUE")</f>
        <v>T CRYSTAL LAKE  DOVER AVENUE</v>
      </c>
      <c r="F2596" s="3" t="str">
        <f>CLEAN("MECAN RIVER BRIDGE  B-39-0082")</f>
        <v>MECAN RIVER BRIDGE  B-39-0082</v>
      </c>
      <c r="G2596" s="3" t="str">
        <f>CLEAN("CONST/REPLACEMENT")</f>
        <v>CONST/REPLACEMENT</v>
      </c>
      <c r="H2596" s="2" t="str">
        <f t="shared" si="404"/>
        <v>LOC STR</v>
      </c>
      <c r="I2596" s="2" t="str">
        <f>CLEAN("205")</f>
        <v>205</v>
      </c>
    </row>
    <row r="2597" spans="1:9" x14ac:dyDescent="0.35">
      <c r="A2597" s="2" t="str">
        <f>CLEAN("WALWORTH")</f>
        <v>WALWORTH</v>
      </c>
      <c r="B2597" s="2" t="str">
        <f>CLEAN("TOWN OF DARIEN")</f>
        <v>TOWN OF DARIEN</v>
      </c>
      <c r="C2597" s="2" t="s">
        <v>2673</v>
      </c>
      <c r="D2597" s="2" t="str">
        <f>CLEAN("3837-00-01")</f>
        <v>3837-00-01</v>
      </c>
      <c r="E2597" s="3" t="str">
        <f>CLEAN("T DARIEN  LAWSON SCHOOL ROAD")</f>
        <v>T DARIEN  LAWSON SCHOOL ROAD</v>
      </c>
      <c r="F2597" s="3" t="str">
        <f>CLEAN("CREEK ROAD TO STH 11")</f>
        <v>CREEK ROAD TO STH 11</v>
      </c>
      <c r="G2597" s="3" t="str">
        <f>CLEAN("PE/FULL PS &amp; E ROW/RECONSTRUCT")</f>
        <v>PE/FULL PS &amp; E ROW/RECONSTRUCT</v>
      </c>
      <c r="H2597" s="2" t="str">
        <f t="shared" si="404"/>
        <v>LOC STR</v>
      </c>
      <c r="I2597" s="2" t="str">
        <f>CLEAN("206")</f>
        <v>206</v>
      </c>
    </row>
    <row r="2598" spans="1:9" x14ac:dyDescent="0.35">
      <c r="A2598" s="2" t="str">
        <f>CLEAN("WALWORTH")</f>
        <v>WALWORTH</v>
      </c>
      <c r="B2598" s="2" t="str">
        <f>CLEAN("TOWN OF DARIEN")</f>
        <v>TOWN OF DARIEN</v>
      </c>
      <c r="C2598" s="2" t="s">
        <v>762</v>
      </c>
      <c r="D2598" s="2" t="str">
        <f>CLEAN("3837-00-71")</f>
        <v>3837-00-71</v>
      </c>
      <c r="E2598" s="3" t="str">
        <f>CLEAN("T DARIEN  LAWSON SCHOOL ROAD")</f>
        <v>T DARIEN  LAWSON SCHOOL ROAD</v>
      </c>
      <c r="F2598" s="3" t="str">
        <f>CLEAN("CREEK ROAD TO STH 11")</f>
        <v>CREEK ROAD TO STH 11</v>
      </c>
      <c r="G2598" s="3" t="str">
        <f>CLEAN("CONST/RECONSTRUCT")</f>
        <v>CONST/RECONSTRUCT</v>
      </c>
      <c r="H2598" s="2" t="str">
        <f t="shared" si="404"/>
        <v>LOC STR</v>
      </c>
      <c r="I2598" s="2" t="str">
        <f>CLEAN("206")</f>
        <v>206</v>
      </c>
    </row>
    <row r="2599" spans="1:9" x14ac:dyDescent="0.35">
      <c r="A2599" s="2" t="str">
        <f>CLEAN("DANE")</f>
        <v>DANE</v>
      </c>
      <c r="B2599" s="2" t="str">
        <f>CLEAN("TOWN OF DEERFIELD")</f>
        <v>TOWN OF DEERFIELD</v>
      </c>
      <c r="C2599" s="2" t="s">
        <v>2162</v>
      </c>
      <c r="D2599" s="2" t="str">
        <f>CLEAN("3626-00-03")</f>
        <v>3626-00-03</v>
      </c>
      <c r="E2599" s="3" t="str">
        <f>CLEAN("T OF DEERFIELD  LIBERTY ROAD")</f>
        <v>T OF DEERFIELD  LIBERTY ROAD</v>
      </c>
      <c r="F2599" s="3" t="str">
        <f>CLEAN("OAK PARK RD TO ROBERT NELSON RD")</f>
        <v>OAK PARK RD TO ROBERT NELSON RD</v>
      </c>
      <c r="G2599" s="3" t="str">
        <f>CLEAN("DESIGN/PLAN CHECK REVIEW/RCND")</f>
        <v>DESIGN/PLAN CHECK REVIEW/RCND</v>
      </c>
      <c r="H2599" s="2" t="str">
        <f t="shared" si="404"/>
        <v>LOC STR</v>
      </c>
      <c r="I2599" s="2" t="str">
        <f>CLEAN("206")</f>
        <v>206</v>
      </c>
    </row>
    <row r="2600" spans="1:9" x14ac:dyDescent="0.35">
      <c r="A2600" s="2" t="str">
        <f>CLEAN("RUSK")</f>
        <v>RUSK</v>
      </c>
      <c r="B2600" s="2" t="str">
        <f>CLEAN("TOWN OF DEWEY")</f>
        <v>TOWN OF DEWEY</v>
      </c>
      <c r="C2600" s="2" t="s">
        <v>1592</v>
      </c>
      <c r="D2600" s="2" t="str">
        <f>CLEAN("8426-00-00")</f>
        <v>8426-00-00</v>
      </c>
      <c r="E2600" s="3" t="str">
        <f>CLEAN("T DEWEY  JOSIE CREEK RD")</f>
        <v>T DEWEY  JOSIE CREEK RD</v>
      </c>
      <c r="F2600" s="3" t="str">
        <f>CLEAN("JOSIE CREEK BRIDGE P-54-0906")</f>
        <v>JOSIE CREEK BRIDGE P-54-0906</v>
      </c>
      <c r="G2600" s="3" t="str">
        <f>CLEAN("DESIGN - FULL PS&amp;E/BRRPL")</f>
        <v>DESIGN - FULL PS&amp;E/BRRPL</v>
      </c>
      <c r="H2600" s="2" t="str">
        <f t="shared" si="404"/>
        <v>LOC STR</v>
      </c>
      <c r="I2600" s="2" t="str">
        <f>CLEAN("205")</f>
        <v>205</v>
      </c>
    </row>
    <row r="2601" spans="1:9" x14ac:dyDescent="0.35">
      <c r="A2601" s="2" t="str">
        <f>CLEAN("PIERCE")</f>
        <v>PIERCE</v>
      </c>
      <c r="B2601" s="2" t="str">
        <f>CLEAN("TOWN OF DIAMOND BLUFF")</f>
        <v>TOWN OF DIAMOND BLUFF</v>
      </c>
      <c r="C2601" s="2" t="s">
        <v>2333</v>
      </c>
      <c r="D2601" s="2" t="str">
        <f>CLEAN("7893-00-00")</f>
        <v>7893-00-00</v>
      </c>
      <c r="E2601" s="3" t="str">
        <f>CLEAN("T DIAMOND BLUFF  1005TH STREET")</f>
        <v>T DIAMOND BLUFF  1005TH STREET</v>
      </c>
      <c r="F2601" s="3" t="str">
        <f>CLEAN("WIND RIVER BRIDGE  P-47-0054")</f>
        <v>WIND RIVER BRIDGE  P-47-0054</v>
      </c>
      <c r="G2601" s="3" t="str">
        <f>CLEAN("DESIGN-FULL PS&amp;E/BRIDGE REPLACEMENT")</f>
        <v>DESIGN-FULL PS&amp;E/BRIDGE REPLACEMENT</v>
      </c>
      <c r="H2601" s="2" t="str">
        <f t="shared" si="404"/>
        <v>LOC STR</v>
      </c>
      <c r="I2601" s="2" t="str">
        <f>CLEAN("205")</f>
        <v>205</v>
      </c>
    </row>
    <row r="2602" spans="1:9" x14ac:dyDescent="0.35">
      <c r="A2602" s="2" t="str">
        <f>CLEAN("PIERCE")</f>
        <v>PIERCE</v>
      </c>
      <c r="B2602" s="2" t="str">
        <f>CLEAN("TOWN OF DIAMOND BLUFF")</f>
        <v>TOWN OF DIAMOND BLUFF</v>
      </c>
      <c r="C2602" s="2" t="s">
        <v>1213</v>
      </c>
      <c r="D2602" s="2" t="str">
        <f>CLEAN("7893-00-70")</f>
        <v>7893-00-70</v>
      </c>
      <c r="E2602" s="3" t="str">
        <f>CLEAN("T DIAMOND BLUFF  1005TH STREET")</f>
        <v>T DIAMOND BLUFF  1005TH STREET</v>
      </c>
      <c r="F2602" s="3" t="str">
        <f>CLEAN("WIND RIVER BRIDGE  B-47-0233")</f>
        <v>WIND RIVER BRIDGE  B-47-0233</v>
      </c>
      <c r="G2602" s="3" t="str">
        <f>CLEAN("CONSTRUCTION/BRIDGE REPLACEMENT")</f>
        <v>CONSTRUCTION/BRIDGE REPLACEMENT</v>
      </c>
      <c r="H2602" s="2" t="str">
        <f t="shared" si="404"/>
        <v>LOC STR</v>
      </c>
      <c r="I2602" s="2" t="str">
        <f>CLEAN("205")</f>
        <v>205</v>
      </c>
    </row>
    <row r="2603" spans="1:9" x14ac:dyDescent="0.35">
      <c r="A2603" s="2" t="str">
        <f>CLEAN("DANE")</f>
        <v>DANE</v>
      </c>
      <c r="B2603" s="2" t="str">
        <f>CLEAN("TOWN OF DUNN")</f>
        <v>TOWN OF DUNN</v>
      </c>
      <c r="C2603" s="2" t="s">
        <v>825</v>
      </c>
      <c r="D2603" s="2" t="str">
        <f>CLEAN("5845-16-75")</f>
        <v>5845-16-75</v>
      </c>
      <c r="E2603" s="3" t="str">
        <f>CLEAN("STOUGHTON - MADISON")</f>
        <v>STOUGHTON - MADISON</v>
      </c>
      <c r="F2603" s="3" t="str">
        <f>CLEAN("CTH B/AB TO TOWER ROAD")</f>
        <v>CTH B/AB TO TOWER ROAD</v>
      </c>
      <c r="G2603" s="3" t="str">
        <f>CLEAN("CONST/RECST")</f>
        <v>CONST/RECST</v>
      </c>
      <c r="H2603" s="2" t="str">
        <f>CLEAN("USH 051")</f>
        <v>USH 051</v>
      </c>
      <c r="I2603" s="2" t="str">
        <f>CLEAN("302")</f>
        <v>302</v>
      </c>
    </row>
    <row r="2604" spans="1:9" x14ac:dyDescent="0.35">
      <c r="A2604" s="2" t="str">
        <f>CLEAN("DANE")</f>
        <v>DANE</v>
      </c>
      <c r="B2604" s="2" t="str">
        <f>CLEAN("TOWN OF DUNN")</f>
        <v>TOWN OF DUNN</v>
      </c>
      <c r="C2604" s="2" t="s">
        <v>838</v>
      </c>
      <c r="D2604" s="2" t="str">
        <f>CLEAN("5845-16-84")</f>
        <v>5845-16-84</v>
      </c>
      <c r="E2604" s="3" t="str">
        <f>CLEAN("STOUGHTON - MADISON")</f>
        <v>STOUGHTON - MADISON</v>
      </c>
      <c r="F2604" s="3" t="str">
        <f>CLEAN("TOWER ROAD TO EXCHANGE STREET")</f>
        <v>TOWER ROAD TO EXCHANGE STREET</v>
      </c>
      <c r="G2604" s="3" t="str">
        <f>CLEAN("CONST/RECST")</f>
        <v>CONST/RECST</v>
      </c>
      <c r="H2604" s="2" t="str">
        <f>CLEAN("USH 051")</f>
        <v>USH 051</v>
      </c>
      <c r="I2604" s="2" t="str">
        <f>CLEAN("302")</f>
        <v>302</v>
      </c>
    </row>
    <row r="2605" spans="1:9" x14ac:dyDescent="0.35">
      <c r="A2605" s="2" t="str">
        <f>CLEAN("WAUPACA")</f>
        <v>WAUPACA</v>
      </c>
      <c r="B2605" s="2" t="str">
        <f>CLEAN("TOWN OF DUPONT")</f>
        <v>TOWN OF DUPONT</v>
      </c>
      <c r="C2605" s="2" t="s">
        <v>1998</v>
      </c>
      <c r="D2605" s="2" t="str">
        <f>CLEAN("6886-02-02")</f>
        <v>6886-02-02</v>
      </c>
      <c r="E2605" s="3" t="str">
        <f>CLEAN("T DUPONT  QUARTERLINE ROAD")</f>
        <v>T DUPONT  QUARTERLINE ROAD</v>
      </c>
      <c r="F2605" s="3" t="str">
        <f>CLEAN("S BR PIGEON RIVER BRIDGE  P680060")</f>
        <v>S BR PIGEON RIVER BRIDGE  P680060</v>
      </c>
      <c r="G2605" s="3" t="str">
        <f>CLEAN("DESIGN/FULL PSE/REPLACEMENT")</f>
        <v>DESIGN/FULL PSE/REPLACEMENT</v>
      </c>
      <c r="H2605" s="2" t="str">
        <f>CLEAN("LOC STR")</f>
        <v>LOC STR</v>
      </c>
      <c r="I2605" s="2" t="str">
        <f>CLEAN("205")</f>
        <v>205</v>
      </c>
    </row>
    <row r="2606" spans="1:9" x14ac:dyDescent="0.35">
      <c r="A2606" s="2" t="str">
        <f>CLEAN("WAUPACA")</f>
        <v>WAUPACA</v>
      </c>
      <c r="B2606" s="2" t="str">
        <f>CLEAN("TOWN OF DUPONT")</f>
        <v>TOWN OF DUPONT</v>
      </c>
      <c r="C2606" s="2" t="s">
        <v>926</v>
      </c>
      <c r="D2606" s="2" t="str">
        <f>CLEAN("6886-02-72")</f>
        <v>6886-02-72</v>
      </c>
      <c r="E2606" s="3" t="str">
        <f>CLEAN("T DUPONT  QUARTERLINE ROAD")</f>
        <v>T DUPONT  QUARTERLINE ROAD</v>
      </c>
      <c r="F2606" s="3" t="str">
        <f>CLEAN("S BR PIGEON RIVER BRIDGE  B680153")</f>
        <v>S BR PIGEON RIVER BRIDGE  B680153</v>
      </c>
      <c r="G2606" s="3" t="str">
        <f>CLEAN("CONST/REPLACEMENT")</f>
        <v>CONST/REPLACEMENT</v>
      </c>
      <c r="H2606" s="2" t="str">
        <f>CLEAN("LOC STR")</f>
        <v>LOC STR</v>
      </c>
      <c r="I2606" s="2" t="str">
        <f>CLEAN("205")</f>
        <v>205</v>
      </c>
    </row>
    <row r="2607" spans="1:9" x14ac:dyDescent="0.35">
      <c r="A2607" s="2" t="str">
        <f>CLEAN("WALWORTH")</f>
        <v>WALWORTH</v>
      </c>
      <c r="B2607" s="2" t="str">
        <f>CLEAN("TOWN OF EAST TROY")</f>
        <v>TOWN OF EAST TROY</v>
      </c>
      <c r="C2607" s="2" t="s">
        <v>2842</v>
      </c>
      <c r="D2607" s="2" t="str">
        <f>CLEAN("3847-05-03")</f>
        <v>3847-05-03</v>
      </c>
      <c r="E2607" s="3" t="str">
        <f>CLEAN("T EAST TROY  BEACH RD")</f>
        <v>T EAST TROY  BEACH RD</v>
      </c>
      <c r="F2607" s="3" t="str">
        <f>CLEAN("BRIDGE OVER EAST TROY RR B64-0150")</f>
        <v>BRIDGE OVER EAST TROY RR B64-0150</v>
      </c>
      <c r="G2607" s="3" t="str">
        <f>CLEAN("PE/FULL PSE/BRRPL")</f>
        <v>PE/FULL PSE/BRRPL</v>
      </c>
      <c r="H2607" s="2" t="str">
        <f>CLEAN("LOC STR")</f>
        <v>LOC STR</v>
      </c>
      <c r="I2607" s="2" t="str">
        <f>CLEAN("205")</f>
        <v>205</v>
      </c>
    </row>
    <row r="2608" spans="1:9" x14ac:dyDescent="0.35">
      <c r="A2608" s="2" t="str">
        <f>CLEAN("MARATHON")</f>
        <v>MARATHON</v>
      </c>
      <c r="B2608" s="2" t="str">
        <f>CLEAN("TOWN OF EAU PLEINE")</f>
        <v>TOWN OF EAU PLEINE</v>
      </c>
      <c r="C2608" s="2" t="s">
        <v>1961</v>
      </c>
      <c r="D2608" s="2" t="str">
        <f>CLEAN("6678-02-00")</f>
        <v>6678-02-00</v>
      </c>
      <c r="E2608" s="3" t="str">
        <f>CLEAN("T EAU PLEINE  ABE LINCOLN ROAD")</f>
        <v>T EAU PLEINE  ABE LINCOLN ROAD</v>
      </c>
      <c r="F2608" s="3" t="str">
        <f>CLEAN("CARLSON CREEK BRIDGE  P-37-0302")</f>
        <v>CARLSON CREEK BRIDGE  P-37-0302</v>
      </c>
      <c r="G2608" s="3" t="str">
        <f>CLEAN("DESIGN/FULL PSE/REPLACEMENT")</f>
        <v>DESIGN/FULL PSE/REPLACEMENT</v>
      </c>
      <c r="H2608" s="2" t="str">
        <f>CLEAN("LOC STR")</f>
        <v>LOC STR</v>
      </c>
      <c r="I2608" s="2" t="str">
        <f>CLEAN("205")</f>
        <v>205</v>
      </c>
    </row>
    <row r="2609" spans="1:9" x14ac:dyDescent="0.35">
      <c r="A2609" s="2" t="str">
        <f>CLEAN("MARATHON")</f>
        <v>MARATHON</v>
      </c>
      <c r="B2609" s="2" t="str">
        <f>CLEAN("TOWN OF EAU PLEINE")</f>
        <v>TOWN OF EAU PLEINE</v>
      </c>
      <c r="C2609" s="2" t="s">
        <v>888</v>
      </c>
      <c r="D2609" s="2" t="str">
        <f>CLEAN("6678-02-70")</f>
        <v>6678-02-70</v>
      </c>
      <c r="E2609" s="3" t="str">
        <f>CLEAN("T EAU PLEINE  ABE LINCOLN ROAD")</f>
        <v>T EAU PLEINE  ABE LINCOLN ROAD</v>
      </c>
      <c r="F2609" s="3" t="str">
        <f>CLEAN("CARLSON CREEK BRIDGE  B-37-0487")</f>
        <v>CARLSON CREEK BRIDGE  B-37-0487</v>
      </c>
      <c r="G2609" s="3" t="str">
        <f>CLEAN("CONST/REPLACEMENT")</f>
        <v>CONST/REPLACEMENT</v>
      </c>
      <c r="H2609" s="2" t="str">
        <f>CLEAN("LOC STR")</f>
        <v>LOC STR</v>
      </c>
      <c r="I2609" s="2" t="str">
        <f>CLEAN("205")</f>
        <v>205</v>
      </c>
    </row>
    <row r="2610" spans="1:9" x14ac:dyDescent="0.35">
      <c r="A2610" s="2" t="str">
        <f>CLEAN("LANGLADE")</f>
        <v>LANGLADE</v>
      </c>
      <c r="B2610" s="2" t="str">
        <f>CLEAN("TOWN OF ELCHO")</f>
        <v>TOWN OF ELCHO</v>
      </c>
      <c r="C2610" s="2" t="s">
        <v>655</v>
      </c>
      <c r="D2610" s="2" t="str">
        <f>CLEAN("1602-10-71")</f>
        <v>1602-10-71</v>
      </c>
      <c r="E2610" s="3" t="str">
        <f>CLEAN("T ELCHO  ANTIGO STREET")</f>
        <v>T ELCHO  ANTIGO STREET</v>
      </c>
      <c r="F2610" s="3" t="str">
        <f>CLEAN("CLINIC STREET TO OTTER LAKE LANE")</f>
        <v>CLINIC STREET TO OTTER LAKE LANE</v>
      </c>
      <c r="G2610" s="3" t="str">
        <f>CLEAN("CONST/PAVEMENT REPLACEMENT")</f>
        <v>CONST/PAVEMENT REPLACEMENT</v>
      </c>
      <c r="H2610" s="2" t="str">
        <f>CLEAN("USH 045")</f>
        <v>USH 045</v>
      </c>
      <c r="I2610" s="2" t="str">
        <f>CLEAN("303")</f>
        <v>303</v>
      </c>
    </row>
    <row r="2611" spans="1:9" x14ac:dyDescent="0.35">
      <c r="A2611" s="2" t="str">
        <f>CLEAN("LANGLADE")</f>
        <v>LANGLADE</v>
      </c>
      <c r="B2611" s="2" t="str">
        <f>CLEAN("TOWN OF ELCHO")</f>
        <v>TOWN OF ELCHO</v>
      </c>
      <c r="C2611" s="2" t="s">
        <v>2287</v>
      </c>
      <c r="D2611" s="2" t="str">
        <f>CLEAN("9836-00-00")</f>
        <v>9836-00-00</v>
      </c>
      <c r="E2611" s="3" t="str">
        <f>CLEAN("ELCHO USH 45 BIKE/PED TRAIL")</f>
        <v>ELCHO USH 45 BIKE/PED TRAIL</v>
      </c>
      <c r="F2611" s="3" t="str">
        <f>CLEAN("ELCHO STREET TO PARKWAY LANE")</f>
        <v>ELCHO STREET TO PARKWAY LANE</v>
      </c>
      <c r="G2611" s="3" t="str">
        <f>CLEAN("DESIGN/TAP/MISC")</f>
        <v>DESIGN/TAP/MISC</v>
      </c>
      <c r="H2611" s="2" t="str">
        <f>CLEAN("NON HWY")</f>
        <v>NON HWY</v>
      </c>
      <c r="I2611" s="2" t="str">
        <f>CLEAN("290")</f>
        <v>290</v>
      </c>
    </row>
    <row r="2612" spans="1:9" x14ac:dyDescent="0.35">
      <c r="A2612" s="2" t="str">
        <f>CLEAN("LANGLADE")</f>
        <v>LANGLADE</v>
      </c>
      <c r="B2612" s="2" t="str">
        <f>CLEAN("TOWN OF ELCHO")</f>
        <v>TOWN OF ELCHO</v>
      </c>
      <c r="C2612" s="2" t="s">
        <v>1064</v>
      </c>
      <c r="D2612" s="2" t="str">
        <f>CLEAN("9836-00-70")</f>
        <v>9836-00-70</v>
      </c>
      <c r="E2612" s="3" t="str">
        <f>CLEAN("ELCHO USH 45 BIKE/PED TRAIL")</f>
        <v>ELCHO USH 45 BIKE/PED TRAIL</v>
      </c>
      <c r="F2612" s="3" t="str">
        <f>CLEAN("ELCHO STREET TO PARKWAY LANE")</f>
        <v>ELCHO STREET TO PARKWAY LANE</v>
      </c>
      <c r="G2612" s="3" t="str">
        <f>CLEAN("CONST/TAP/MISC")</f>
        <v>CONST/TAP/MISC</v>
      </c>
      <c r="H2612" s="2" t="str">
        <f>CLEAN("NON HWY")</f>
        <v>NON HWY</v>
      </c>
      <c r="I2612" s="2" t="str">
        <f>CLEAN("290")</f>
        <v>290</v>
      </c>
    </row>
    <row r="2613" spans="1:9" x14ac:dyDescent="0.35">
      <c r="A2613" s="2" t="str">
        <f>CLEAN("OUTAGAMIE")</f>
        <v>OUTAGAMIE</v>
      </c>
      <c r="B2613" s="2" t="str">
        <f>CLEAN("TOWN OF ELLINGTON")</f>
        <v>TOWN OF ELLINGTON</v>
      </c>
      <c r="C2613" s="2" t="s">
        <v>2461</v>
      </c>
      <c r="D2613" s="2" t="str">
        <f>CLEAN("6508-00-00")</f>
        <v>6508-00-00</v>
      </c>
      <c r="E2613" s="3" t="str">
        <f>CLEAN("T ELLINGTON  MARKET ROAD")</f>
        <v>T ELLINGTON  MARKET ROAD</v>
      </c>
      <c r="F2613" s="3" t="str">
        <f>CLEAN("BEAR CREEK BRIDGE")</f>
        <v>BEAR CREEK BRIDGE</v>
      </c>
      <c r="G2613" s="3" t="str">
        <f>CLEAN("DSN/FULL PSE/BRRPL P440119")</f>
        <v>DSN/FULL PSE/BRRPL P440119</v>
      </c>
      <c r="H2613" s="2" t="str">
        <f t="shared" ref="H2613:H2626" si="405">CLEAN("LOC STR")</f>
        <v>LOC STR</v>
      </c>
      <c r="I2613" s="2" t="str">
        <f>CLEAN("205")</f>
        <v>205</v>
      </c>
    </row>
    <row r="2614" spans="1:9" x14ac:dyDescent="0.35">
      <c r="A2614" s="2" t="str">
        <f>CLEAN("OUTAGAMIE")</f>
        <v>OUTAGAMIE</v>
      </c>
      <c r="B2614" s="2" t="str">
        <f>CLEAN("TOWN OF ELLINGTON")</f>
        <v>TOWN OF ELLINGTON</v>
      </c>
      <c r="C2614" s="2" t="s">
        <v>174</v>
      </c>
      <c r="D2614" s="2" t="str">
        <f>CLEAN("6508-00-71")</f>
        <v>6508-00-71</v>
      </c>
      <c r="E2614" s="3" t="str">
        <f>CLEAN("T ELLINGTON  MARKET ROAD")</f>
        <v>T ELLINGTON  MARKET ROAD</v>
      </c>
      <c r="F2614" s="3" t="str">
        <f>CLEAN("BEAR CREEK BRIDGE")</f>
        <v>BEAR CREEK BRIDGE</v>
      </c>
      <c r="G2614" s="3" t="str">
        <f>CLEAN("CONST OPS/BRRPL/P440119")</f>
        <v>CONST OPS/BRRPL/P440119</v>
      </c>
      <c r="H2614" s="2" t="str">
        <f t="shared" si="405"/>
        <v>LOC STR</v>
      </c>
      <c r="I2614" s="2" t="str">
        <f>CLEAN("205")</f>
        <v>205</v>
      </c>
    </row>
    <row r="2615" spans="1:9" x14ac:dyDescent="0.35">
      <c r="A2615" s="2" t="str">
        <f>CLEAN("OUTAGAMIE")</f>
        <v>OUTAGAMIE</v>
      </c>
      <c r="B2615" s="2" t="str">
        <f>CLEAN("TOWN OF ELLINGTON")</f>
        <v>TOWN OF ELLINGTON</v>
      </c>
      <c r="C2615" s="2" t="s">
        <v>284</v>
      </c>
      <c r="D2615" s="2" t="str">
        <f>CLEAN("6508-01-71")</f>
        <v>6508-01-71</v>
      </c>
      <c r="E2615" s="3" t="str">
        <f>CLEAN("T ELLINGTON  GRANDVIEW RD")</f>
        <v>T ELLINGTON  GRANDVIEW RD</v>
      </c>
      <c r="F2615" s="3" t="str">
        <f>CLEAN("NORTH RD TO IMMEL RD")</f>
        <v>NORTH RD TO IMMEL RD</v>
      </c>
      <c r="G2615" s="3" t="str">
        <f>CLEAN("CONST OPS/RECST")</f>
        <v>CONST OPS/RECST</v>
      </c>
      <c r="H2615" s="2" t="str">
        <f t="shared" si="405"/>
        <v>LOC STR</v>
      </c>
      <c r="I2615" s="2" t="str">
        <f>CLEAN("206")</f>
        <v>206</v>
      </c>
    </row>
    <row r="2616" spans="1:9" x14ac:dyDescent="0.35">
      <c r="A2616" s="2" t="str">
        <f>CLEAN("DODGE")</f>
        <v>DODGE</v>
      </c>
      <c r="B2616" s="2" t="str">
        <f>CLEAN("TOWN OF EMMET")</f>
        <v>TOWN OF EMMET</v>
      </c>
      <c r="C2616" s="2" t="s">
        <v>2081</v>
      </c>
      <c r="D2616" s="2" t="str">
        <f>CLEAN("3810-00-01")</f>
        <v>3810-00-01</v>
      </c>
      <c r="E2616" s="3" t="str">
        <f>CLEAN("TOWN OF EMMET  APPLE RD")</f>
        <v>TOWN OF EMMET  APPLE RD</v>
      </c>
      <c r="F2616" s="3" t="str">
        <f>CLEAN("SILVER CREEK BRIDGE  P-14-0924")</f>
        <v>SILVER CREEK BRIDGE  P-14-0924</v>
      </c>
      <c r="G2616" s="3" t="str">
        <f>CLEAN("DESIGN/PLAN CHECK REVIEW/BR RECONST")</f>
        <v>DESIGN/PLAN CHECK REVIEW/BR RECONST</v>
      </c>
      <c r="H2616" s="2" t="str">
        <f t="shared" si="405"/>
        <v>LOC STR</v>
      </c>
      <c r="I2616" s="2" t="str">
        <f>CLEAN("205")</f>
        <v>205</v>
      </c>
    </row>
    <row r="2617" spans="1:9" x14ac:dyDescent="0.35">
      <c r="A2617" s="2" t="str">
        <f>CLEAN("TREMPEALEAU")</f>
        <v>TREMPEALEAU</v>
      </c>
      <c r="B2617" s="2" t="str">
        <f>CLEAN("TOWN OF ETTRICK")</f>
        <v>TOWN OF ETTRICK</v>
      </c>
      <c r="C2617" s="2" t="s">
        <v>1609</v>
      </c>
      <c r="D2617" s="2" t="str">
        <f>CLEAN("7281-00-07")</f>
        <v>7281-00-07</v>
      </c>
      <c r="E2617" s="3" t="str">
        <f>CLEAN("T ETTRICK  ROBINSON LANE")</f>
        <v>T ETTRICK  ROBINSON LANE</v>
      </c>
      <c r="F2617" s="3" t="str">
        <f>CLEAN("S FK BEAVER CRK BR P-61-0947")</f>
        <v>S FK BEAVER CRK BR P-61-0947</v>
      </c>
      <c r="G2617" s="3" t="str">
        <f>CLEAN("DESIGN - FULL PS&amp;E/BRRPL")</f>
        <v>DESIGN - FULL PS&amp;E/BRRPL</v>
      </c>
      <c r="H2617" s="2" t="str">
        <f t="shared" si="405"/>
        <v>LOC STR</v>
      </c>
      <c r="I2617" s="2" t="str">
        <f>CLEAN("205")</f>
        <v>205</v>
      </c>
    </row>
    <row r="2618" spans="1:9" x14ac:dyDescent="0.35">
      <c r="A2618" s="2" t="str">
        <f>CLEAN("SAUK")</f>
        <v>SAUK</v>
      </c>
      <c r="B2618" s="2" t="str">
        <f>CLEAN("TOWN OF EXCELSIOR")</f>
        <v>TOWN OF EXCELSIOR</v>
      </c>
      <c r="C2618" s="2" t="s">
        <v>1527</v>
      </c>
      <c r="D2618" s="2" t="str">
        <f>CLEAN("5709-00-01")</f>
        <v>5709-00-01</v>
      </c>
      <c r="E2618" s="3" t="str">
        <f>CLEAN("T EXCELSIOR  NORTH REEDSBURG ROAD")</f>
        <v>T EXCELSIOR  NORTH REEDSBURG ROAD</v>
      </c>
      <c r="F2618" s="3" t="str">
        <f>CLEAN("NORTHWOODS DRIVE TO STH 23")</f>
        <v>NORTHWOODS DRIVE TO STH 23</v>
      </c>
      <c r="G2618" s="3" t="str">
        <f>CLEAN("DESIGN - FULL PS&amp;E RECONSTRUCTION")</f>
        <v>DESIGN - FULL PS&amp;E RECONSTRUCTION</v>
      </c>
      <c r="H2618" s="2" t="str">
        <f t="shared" si="405"/>
        <v>LOC STR</v>
      </c>
      <c r="I2618" s="2" t="str">
        <f>CLEAN("206")</f>
        <v>206</v>
      </c>
    </row>
    <row r="2619" spans="1:9" x14ac:dyDescent="0.35">
      <c r="A2619" s="2" t="str">
        <f>CLEAN("SAUK")</f>
        <v>SAUK</v>
      </c>
      <c r="B2619" s="2" t="str">
        <f>CLEAN("TOWN OF EXCELSIOR")</f>
        <v>TOWN OF EXCELSIOR</v>
      </c>
      <c r="C2619" s="2" t="s">
        <v>255</v>
      </c>
      <c r="D2619" s="2" t="str">
        <f>CLEAN("5709-00-70")</f>
        <v>5709-00-70</v>
      </c>
      <c r="E2619" s="3" t="str">
        <f>CLEAN("T EXCELSIOR  NORTH REEDSBURG ROAD")</f>
        <v>T EXCELSIOR  NORTH REEDSBURG ROAD</v>
      </c>
      <c r="F2619" s="3" t="str">
        <f>CLEAN("NORTHWOODS DRIVE TO STH 23")</f>
        <v>NORTHWOODS DRIVE TO STH 23</v>
      </c>
      <c r="G2619" s="3" t="str">
        <f>CLEAN("CONST OPS/RECONSTRUCTION")</f>
        <v>CONST OPS/RECONSTRUCTION</v>
      </c>
      <c r="H2619" s="2" t="str">
        <f t="shared" si="405"/>
        <v>LOC STR</v>
      </c>
      <c r="I2619" s="2" t="str">
        <f>CLEAN("206")</f>
        <v>206</v>
      </c>
    </row>
    <row r="2620" spans="1:9" x14ac:dyDescent="0.35">
      <c r="A2620" s="2" t="str">
        <f>CLEAN("WASHINGTON")</f>
        <v>WASHINGTON</v>
      </c>
      <c r="B2620" s="2" t="str">
        <f t="shared" ref="B2620:B2626" si="406">CLEAN("TOWN OF FARMINGTON")</f>
        <v>TOWN OF FARMINGTON</v>
      </c>
      <c r="C2620" s="2" t="s">
        <v>2729</v>
      </c>
      <c r="D2620" s="2" t="str">
        <f>CLEAN("4826-01-01")</f>
        <v>4826-01-01</v>
      </c>
      <c r="E2620" s="3" t="str">
        <f>CLEAN("T FARMINGTON  JAY RD")</f>
        <v>T FARMINGTON  JAY RD</v>
      </c>
      <c r="F2620" s="3" t="str">
        <f>CLEAN("N BR MILWAUKEE RIVER BRIDGE P66-38")</f>
        <v>N BR MILWAUKEE RIVER BRIDGE P66-38</v>
      </c>
      <c r="G2620" s="3" t="str">
        <f>CLEAN("PE/FULL PS&amp;E/BRRPL")</f>
        <v>PE/FULL PS&amp;E/BRRPL</v>
      </c>
      <c r="H2620" s="2" t="str">
        <f t="shared" si="405"/>
        <v>LOC STR</v>
      </c>
      <c r="I2620" s="2" t="str">
        <f t="shared" ref="I2620:I2626" si="407">CLEAN("205")</f>
        <v>205</v>
      </c>
    </row>
    <row r="2621" spans="1:9" x14ac:dyDescent="0.35">
      <c r="A2621" s="2" t="str">
        <f>CLEAN("JEFFERSON")</f>
        <v>JEFFERSON</v>
      </c>
      <c r="B2621" s="2" t="str">
        <f t="shared" si="406"/>
        <v>TOWN OF FARMINGTON</v>
      </c>
      <c r="C2621" s="2" t="s">
        <v>1873</v>
      </c>
      <c r="D2621" s="2" t="str">
        <f>CLEAN("3633-00-01")</f>
        <v>3633-00-01</v>
      </c>
      <c r="E2621" s="3" t="str">
        <f>CLEAN("TOWN OF FARMINGTON  WRIGHT ROAD")</f>
        <v>TOWN OF FARMINGTON  WRIGHT ROAD</v>
      </c>
      <c r="F2621" s="3" t="str">
        <f>CLEAN("JOHNSON CREEK BRIDGE P-28-0060")</f>
        <v>JOHNSON CREEK BRIDGE P-28-0060</v>
      </c>
      <c r="G2621" s="3" t="str">
        <f>CLEAN("DESIGN/FULL PS&amp;E BRRPL")</f>
        <v>DESIGN/FULL PS&amp;E BRRPL</v>
      </c>
      <c r="H2621" s="2" t="str">
        <f t="shared" si="405"/>
        <v>LOC STR</v>
      </c>
      <c r="I2621" s="2" t="str">
        <f t="shared" si="407"/>
        <v>205</v>
      </c>
    </row>
    <row r="2622" spans="1:9" x14ac:dyDescent="0.35">
      <c r="A2622" s="2" t="str">
        <f>CLEAN("WASHINGTON")</f>
        <v>WASHINGTON</v>
      </c>
      <c r="B2622" s="2" t="str">
        <f t="shared" si="406"/>
        <v>TOWN OF FARMINGTON</v>
      </c>
      <c r="C2622" s="2" t="s">
        <v>2639</v>
      </c>
      <c r="D2622" s="2" t="str">
        <f>CLEAN("4824-04-00")</f>
        <v>4824-04-00</v>
      </c>
      <c r="E2622" s="3" t="str">
        <f>CLEAN("TRADING POST TRAIL ROAD")</f>
        <v>TRADING POST TRAIL ROAD</v>
      </c>
      <c r="F2622" s="3" t="str">
        <f>CLEAN("BR OVR N BR MILW RIVER P-66-0907")</f>
        <v>BR OVR N BR MILW RIVER P-66-0907</v>
      </c>
      <c r="G2622" s="3" t="str">
        <f>CLEAN("PE/BRIDGE REPLACEMENT")</f>
        <v>PE/BRIDGE REPLACEMENT</v>
      </c>
      <c r="H2622" s="2" t="str">
        <f t="shared" si="405"/>
        <v>LOC STR</v>
      </c>
      <c r="I2622" s="2" t="str">
        <f t="shared" si="407"/>
        <v>205</v>
      </c>
    </row>
    <row r="2623" spans="1:9" x14ac:dyDescent="0.35">
      <c r="A2623" s="2" t="str">
        <f>CLEAN("WASHINGTON")</f>
        <v>WASHINGTON</v>
      </c>
      <c r="B2623" s="2" t="str">
        <f t="shared" si="406"/>
        <v>TOWN OF FARMINGTON</v>
      </c>
      <c r="C2623" s="2" t="s">
        <v>408</v>
      </c>
      <c r="D2623" s="2" t="str">
        <f>CLEAN("4824-04-70")</f>
        <v>4824-04-70</v>
      </c>
      <c r="E2623" s="3" t="str">
        <f>CLEAN("TRADING POST TRAIL ROAD")</f>
        <v>TRADING POST TRAIL ROAD</v>
      </c>
      <c r="F2623" s="3" t="str">
        <f>CLEAN("BR OVR N BR MILW RIVER P-66-0907")</f>
        <v>BR OVR N BR MILW RIVER P-66-0907</v>
      </c>
      <c r="G2623" s="3" t="str">
        <f>CLEAN("CONST/BRIDGE REPLACEMENT")</f>
        <v>CONST/BRIDGE REPLACEMENT</v>
      </c>
      <c r="H2623" s="2" t="str">
        <f t="shared" si="405"/>
        <v>LOC STR</v>
      </c>
      <c r="I2623" s="2" t="str">
        <f t="shared" si="407"/>
        <v>205</v>
      </c>
    </row>
    <row r="2624" spans="1:9" x14ac:dyDescent="0.35">
      <c r="A2624" s="2" t="str">
        <f>CLEAN("WASHINGTON")</f>
        <v>WASHINGTON</v>
      </c>
      <c r="B2624" s="2" t="str">
        <f t="shared" si="406"/>
        <v>TOWN OF FARMINGTON</v>
      </c>
      <c r="C2624" s="2" t="s">
        <v>2670</v>
      </c>
      <c r="D2624" s="2" t="str">
        <f>CLEAN("4826-00-01")</f>
        <v>4826-00-01</v>
      </c>
      <c r="E2624" s="3" t="str">
        <f>CLEAN("FARMINGTON - ORCHARD VALLEY ROAD")</f>
        <v>FARMINGTON - ORCHARD VALLEY ROAD</v>
      </c>
      <c r="F2624" s="3" t="str">
        <f>CLEAN("OVER BR N BR MILWAUKEE RIVER P66-39")</f>
        <v>OVER BR N BR MILWAUKEE RIVER P66-39</v>
      </c>
      <c r="G2624" s="3" t="str">
        <f>CLEAN("PE/FULL PS &amp; E ROW  BRRPL")</f>
        <v>PE/FULL PS &amp; E ROW  BRRPL</v>
      </c>
      <c r="H2624" s="2" t="str">
        <f t="shared" si="405"/>
        <v>LOC STR</v>
      </c>
      <c r="I2624" s="2" t="str">
        <f t="shared" si="407"/>
        <v>205</v>
      </c>
    </row>
    <row r="2625" spans="1:9" x14ac:dyDescent="0.35">
      <c r="A2625" s="2" t="str">
        <f>CLEAN("WASHINGTON")</f>
        <v>WASHINGTON</v>
      </c>
      <c r="B2625" s="2" t="str">
        <f t="shared" si="406"/>
        <v>TOWN OF FARMINGTON</v>
      </c>
      <c r="C2625" s="2" t="s">
        <v>510</v>
      </c>
      <c r="D2625" s="2" t="str">
        <f>CLEAN("4826-00-71")</f>
        <v>4826-00-71</v>
      </c>
      <c r="E2625" s="3" t="str">
        <f>CLEAN("FARMINGTON - ORCHARD VALLEY ROAD")</f>
        <v>FARMINGTON - ORCHARD VALLEY ROAD</v>
      </c>
      <c r="F2625" s="3" t="str">
        <f>CLEAN("OVER BR N BR MILWAUKEE RIVER P66-39")</f>
        <v>OVER BR N BR MILWAUKEE RIVER P66-39</v>
      </c>
      <c r="G2625" s="3" t="str">
        <f>CLEAN("CONST/BRRPL")</f>
        <v>CONST/BRRPL</v>
      </c>
      <c r="H2625" s="2" t="str">
        <f t="shared" si="405"/>
        <v>LOC STR</v>
      </c>
      <c r="I2625" s="2" t="str">
        <f t="shared" si="407"/>
        <v>205</v>
      </c>
    </row>
    <row r="2626" spans="1:9" x14ac:dyDescent="0.35">
      <c r="A2626" s="2" t="str">
        <f>CLEAN("WASHINGTON")</f>
        <v>WASHINGTON</v>
      </c>
      <c r="B2626" s="2" t="str">
        <f t="shared" si="406"/>
        <v>TOWN OF FARMINGTON</v>
      </c>
      <c r="C2626" s="2" t="s">
        <v>509</v>
      </c>
      <c r="D2626" s="2" t="str">
        <f>CLEAN("4826-01-71")</f>
        <v>4826-01-71</v>
      </c>
      <c r="E2626" s="3" t="str">
        <f>CLEAN("T FARMINGTON  JAY RD")</f>
        <v>T FARMINGTON  JAY RD</v>
      </c>
      <c r="F2626" s="3" t="str">
        <f>CLEAN("N BR MILWAUKEE RIVER BRIDGE  P66-38")</f>
        <v>N BR MILWAUKEE RIVER BRIDGE  P66-38</v>
      </c>
      <c r="G2626" s="3" t="str">
        <f>CLEAN("CONST/BRRPL")</f>
        <v>CONST/BRRPL</v>
      </c>
      <c r="H2626" s="2" t="str">
        <f t="shared" si="405"/>
        <v>LOC STR</v>
      </c>
      <c r="I2626" s="2" t="str">
        <f t="shared" si="407"/>
        <v>205</v>
      </c>
    </row>
    <row r="2627" spans="1:9" x14ac:dyDescent="0.35">
      <c r="A2627" s="2" t="str">
        <f>CLEAN("FLORENCE")</f>
        <v>FLORENCE</v>
      </c>
      <c r="B2627" s="2" t="str">
        <f>CLEAN("TOWN OF FLORENCE")</f>
        <v>TOWN OF FLORENCE</v>
      </c>
      <c r="C2627" s="2" t="s">
        <v>982</v>
      </c>
      <c r="D2627" s="2" t="str">
        <f>CLEAN("9120-09-71")</f>
        <v>9120-09-71</v>
      </c>
      <c r="E2627" s="3" t="str">
        <f>CLEAN("BRULE RIVER - IRON MOUNTAIN")</f>
        <v>BRULE RIVER - IRON MOUNTAIN</v>
      </c>
      <c r="F2627" s="3" t="str">
        <f>CLEAN("PEWABIC STREET TO CTH NN")</f>
        <v>PEWABIC STREET TO CTH NN</v>
      </c>
      <c r="G2627" s="3" t="str">
        <f>CLEAN("CONST/RESURFACE")</f>
        <v>CONST/RESURFACE</v>
      </c>
      <c r="H2627" s="2" t="str">
        <f>CLEAN("USH 002")</f>
        <v>USH 002</v>
      </c>
      <c r="I2627" s="2" t="str">
        <f>CLEAN("303")</f>
        <v>303</v>
      </c>
    </row>
    <row r="2628" spans="1:9" x14ac:dyDescent="0.35">
      <c r="A2628" s="2" t="str">
        <f>CLEAN("FLORENCE")</f>
        <v>FLORENCE</v>
      </c>
      <c r="B2628" s="2" t="str">
        <f>CLEAN("TOWN OF FLORENCE")</f>
        <v>TOWN OF FLORENCE</v>
      </c>
      <c r="C2628" s="2" t="s">
        <v>1960</v>
      </c>
      <c r="D2628" s="2" t="str">
        <f>CLEAN("9913-00-00")</f>
        <v>9913-00-00</v>
      </c>
      <c r="E2628" s="3" t="str">
        <f>CLEAN("T FLORENCE  PENTOGA ROAD")</f>
        <v>T FLORENCE  PENTOGA ROAD</v>
      </c>
      <c r="F2628" s="3" t="str">
        <f>CLEAN("BRULE RIVER BRIDGE  P-19-0013")</f>
        <v>BRULE RIVER BRIDGE  P-19-0013</v>
      </c>
      <c r="G2628" s="3" t="str">
        <f>CLEAN("DESIGN/FULL PSE/REPLACEMENT")</f>
        <v>DESIGN/FULL PSE/REPLACEMENT</v>
      </c>
      <c r="H2628" s="2" t="str">
        <f t="shared" ref="H2628:H2639" si="408">CLEAN("LOC STR")</f>
        <v>LOC STR</v>
      </c>
      <c r="I2628" s="2" t="str">
        <f t="shared" ref="I2628:I2639" si="409">CLEAN("205")</f>
        <v>205</v>
      </c>
    </row>
    <row r="2629" spans="1:9" x14ac:dyDescent="0.35">
      <c r="A2629" s="2" t="str">
        <f>CLEAN("FOND DU LAC")</f>
        <v>FOND DU LAC</v>
      </c>
      <c r="B2629" s="2" t="str">
        <f>CLEAN("TOWN OF FOREST")</f>
        <v>TOWN OF FOREST</v>
      </c>
      <c r="C2629" s="2" t="s">
        <v>2357</v>
      </c>
      <c r="D2629" s="2" t="str">
        <f>CLEAN("4816-00-00")</f>
        <v>4816-00-00</v>
      </c>
      <c r="E2629" s="3" t="str">
        <f>CLEAN("T FOREST  POPLAR ROAD")</f>
        <v>T FOREST  POPLAR ROAD</v>
      </c>
      <c r="F2629" s="3" t="str">
        <f>CLEAN("SHEBOYGAN RIVER BRIDGE")</f>
        <v>SHEBOYGAN RIVER BRIDGE</v>
      </c>
      <c r="G2629" s="3" t="str">
        <f>CLEAN("DSGN/FULL PSE/BRRPL")</f>
        <v>DSGN/FULL PSE/BRRPL</v>
      </c>
      <c r="H2629" s="2" t="str">
        <f t="shared" si="408"/>
        <v>LOC STR</v>
      </c>
      <c r="I2629" s="2" t="str">
        <f t="shared" si="409"/>
        <v>205</v>
      </c>
    </row>
    <row r="2630" spans="1:9" x14ac:dyDescent="0.35">
      <c r="A2630" s="2" t="str">
        <f>CLEAN("FOND DU LAC")</f>
        <v>FOND DU LAC</v>
      </c>
      <c r="B2630" s="2" t="str">
        <f>CLEAN("TOWN OF FOREST")</f>
        <v>TOWN OF FOREST</v>
      </c>
      <c r="C2630" s="2" t="s">
        <v>165</v>
      </c>
      <c r="D2630" s="2" t="str">
        <f>CLEAN("4816-00-71")</f>
        <v>4816-00-71</v>
      </c>
      <c r="E2630" s="3" t="str">
        <f>CLEAN("T FOREST  POPLAR ROAD")</f>
        <v>T FOREST  POPLAR ROAD</v>
      </c>
      <c r="F2630" s="3" t="str">
        <f>CLEAN("SHEBOYGAN RIVER BRIDGE")</f>
        <v>SHEBOYGAN RIVER BRIDGE</v>
      </c>
      <c r="G2630" s="3" t="str">
        <f>CLEAN("CONST OPS/BRRPL/B200257")</f>
        <v>CONST OPS/BRRPL/B200257</v>
      </c>
      <c r="H2630" s="2" t="str">
        <f t="shared" si="408"/>
        <v>LOC STR</v>
      </c>
      <c r="I2630" s="2" t="str">
        <f t="shared" si="409"/>
        <v>205</v>
      </c>
    </row>
    <row r="2631" spans="1:9" x14ac:dyDescent="0.35">
      <c r="A2631" s="2" t="str">
        <f>CLEAN("FOND DU LAC")</f>
        <v>FOND DU LAC</v>
      </c>
      <c r="B2631" s="2" t="str">
        <f>CLEAN("TOWN OF FOREST")</f>
        <v>TOWN OF FOREST</v>
      </c>
      <c r="C2631" s="2" t="s">
        <v>2457</v>
      </c>
      <c r="D2631" s="2" t="str">
        <f>CLEAN("4816-00-72")</f>
        <v>4816-00-72</v>
      </c>
      <c r="E2631" s="3" t="str">
        <f>CLEAN("T FOREST  WALNUT ROAD")</f>
        <v>T FOREST  WALNUT ROAD</v>
      </c>
      <c r="F2631" s="3" t="str">
        <f>CLEAN("SHEBOYGAN RIVER BRIDGE")</f>
        <v>SHEBOYGAN RIVER BRIDGE</v>
      </c>
      <c r="G2631" s="3" t="str">
        <f>CLEAN("DSN/FULL PSE/BRRPL P-20-0084")</f>
        <v>DSN/FULL PSE/BRRPL P-20-0084</v>
      </c>
      <c r="H2631" s="2" t="str">
        <f t="shared" si="408"/>
        <v>LOC STR</v>
      </c>
      <c r="I2631" s="2" t="str">
        <f t="shared" si="409"/>
        <v>205</v>
      </c>
    </row>
    <row r="2632" spans="1:9" x14ac:dyDescent="0.35">
      <c r="A2632" s="2" t="str">
        <f>CLEAN("FOND DU LAC")</f>
        <v>FOND DU LAC</v>
      </c>
      <c r="B2632" s="2" t="str">
        <f>CLEAN("TOWN OF FOREST")</f>
        <v>TOWN OF FOREST</v>
      </c>
      <c r="C2632" s="2" t="s">
        <v>145</v>
      </c>
      <c r="D2632" s="2" t="str">
        <f>CLEAN("4816-00-73")</f>
        <v>4816-00-73</v>
      </c>
      <c r="E2632" s="3" t="str">
        <f>CLEAN("T FOREST  WALNUT ROAD")</f>
        <v>T FOREST  WALNUT ROAD</v>
      </c>
      <c r="F2632" s="3" t="str">
        <f>CLEAN("SHEBOYGAN RIVER BRIDGE")</f>
        <v>SHEBOYGAN RIVER BRIDGE</v>
      </c>
      <c r="G2632" s="3" t="str">
        <f>CLEAN("CONST OPS/BRRPL")</f>
        <v>CONST OPS/BRRPL</v>
      </c>
      <c r="H2632" s="2" t="str">
        <f t="shared" si="408"/>
        <v>LOC STR</v>
      </c>
      <c r="I2632" s="2" t="str">
        <f t="shared" si="409"/>
        <v>205</v>
      </c>
    </row>
    <row r="2633" spans="1:9" x14ac:dyDescent="0.35">
      <c r="A2633" s="2" t="str">
        <f>CLEAN("FOND DU LAC")</f>
        <v>FOND DU LAC</v>
      </c>
      <c r="B2633" s="2" t="str">
        <f>CLEAN("TOWN OF FOREST")</f>
        <v>TOWN OF FOREST</v>
      </c>
      <c r="C2633" s="2" t="s">
        <v>2368</v>
      </c>
      <c r="D2633" s="2" t="str">
        <f>CLEAN("4816-01-00")</f>
        <v>4816-01-00</v>
      </c>
      <c r="E2633" s="3" t="str">
        <f>CLEAN("T FOREST  DIVISION ROAD")</f>
        <v>T FOREST  DIVISION ROAD</v>
      </c>
      <c r="F2633" s="3" t="str">
        <f>CLEAN("MULLET RIVER BRIDGE")</f>
        <v>MULLET RIVER BRIDGE</v>
      </c>
      <c r="G2633" s="3" t="str">
        <f>CLEAN("DSGN/FULL PSE/BRRPL P-20-0915")</f>
        <v>DSGN/FULL PSE/BRRPL P-20-0915</v>
      </c>
      <c r="H2633" s="2" t="str">
        <f t="shared" si="408"/>
        <v>LOC STR</v>
      </c>
      <c r="I2633" s="2" t="str">
        <f t="shared" si="409"/>
        <v>205</v>
      </c>
    </row>
    <row r="2634" spans="1:9" x14ac:dyDescent="0.35">
      <c r="A2634" s="2" t="str">
        <f>CLEAN("MARATHON")</f>
        <v>MARATHON</v>
      </c>
      <c r="B2634" s="2" t="str">
        <f>CLEAN("TOWN OF FRANKFORT")</f>
        <v>TOWN OF FRANKFORT</v>
      </c>
      <c r="C2634" s="2" t="s">
        <v>1992</v>
      </c>
      <c r="D2634" s="2" t="str">
        <f>CLEAN("6671-01-00")</f>
        <v>6671-01-00</v>
      </c>
      <c r="E2634" s="3" t="str">
        <f>CLEAN("T FRANKFORT  HUCKLEBERRY ROAD")</f>
        <v>T FRANKFORT  HUCKLEBERRY ROAD</v>
      </c>
      <c r="F2634" s="3" t="str">
        <f>CLEAN("RANDALL CREEK BRIDGE  P-37-0270")</f>
        <v>RANDALL CREEK BRIDGE  P-37-0270</v>
      </c>
      <c r="G2634" s="3" t="str">
        <f>CLEAN("DESIGN/FULL PSE/REPLACEMENT")</f>
        <v>DESIGN/FULL PSE/REPLACEMENT</v>
      </c>
      <c r="H2634" s="2" t="str">
        <f t="shared" si="408"/>
        <v>LOC STR</v>
      </c>
      <c r="I2634" s="2" t="str">
        <f t="shared" si="409"/>
        <v>205</v>
      </c>
    </row>
    <row r="2635" spans="1:9" x14ac:dyDescent="0.35">
      <c r="A2635" s="2" t="str">
        <f>CLEAN("MARATHON")</f>
        <v>MARATHON</v>
      </c>
      <c r="B2635" s="2" t="str">
        <f>CLEAN("TOWN OF FRANKFORT")</f>
        <v>TOWN OF FRANKFORT</v>
      </c>
      <c r="C2635" s="2" t="s">
        <v>921</v>
      </c>
      <c r="D2635" s="2" t="str">
        <f>CLEAN("6671-01-70")</f>
        <v>6671-01-70</v>
      </c>
      <c r="E2635" s="3" t="str">
        <f>CLEAN("T FRANKFORT  HUCKLEBERRY ROAD")</f>
        <v>T FRANKFORT  HUCKLEBERRY ROAD</v>
      </c>
      <c r="F2635" s="3" t="str">
        <f>CLEAN("RANDALL CREEK BRIDGE  B-37-0498")</f>
        <v>RANDALL CREEK BRIDGE  B-37-0498</v>
      </c>
      <c r="G2635" s="3" t="str">
        <f>CLEAN("CONST/REPLACEMENT")</f>
        <v>CONST/REPLACEMENT</v>
      </c>
      <c r="H2635" s="2" t="str">
        <f t="shared" si="408"/>
        <v>LOC STR</v>
      </c>
      <c r="I2635" s="2" t="str">
        <f t="shared" si="409"/>
        <v>205</v>
      </c>
    </row>
    <row r="2636" spans="1:9" x14ac:dyDescent="0.35">
      <c r="A2636" s="2" t="str">
        <f>CLEAN("SAUK")</f>
        <v>SAUK</v>
      </c>
      <c r="B2636" s="2" t="str">
        <f>CLEAN("TOWN OF FREEDOM")</f>
        <v>TOWN OF FREEDOM</v>
      </c>
      <c r="C2636" s="2" t="s">
        <v>1815</v>
      </c>
      <c r="D2636" s="2" t="str">
        <f>CLEAN("5976-00-06")</f>
        <v>5976-00-06</v>
      </c>
      <c r="E2636" s="3" t="str">
        <f>CLEAN("T OF FREEDOM  DIAMOND HILL ROAD")</f>
        <v>T OF FREEDOM  DIAMOND HILL ROAD</v>
      </c>
      <c r="F2636" s="3" t="str">
        <f>CLEAN("SEELEY CREEK BRIDGE  P-56-0146")</f>
        <v>SEELEY CREEK BRIDGE  P-56-0146</v>
      </c>
      <c r="G2636" s="3" t="str">
        <f>CLEAN("DESIGN/BRIDGE REPLACEMENT")</f>
        <v>DESIGN/BRIDGE REPLACEMENT</v>
      </c>
      <c r="H2636" s="2" t="str">
        <f t="shared" si="408"/>
        <v>LOC STR</v>
      </c>
      <c r="I2636" s="2" t="str">
        <f t="shared" si="409"/>
        <v>205</v>
      </c>
    </row>
    <row r="2637" spans="1:9" x14ac:dyDescent="0.35">
      <c r="A2637" s="2" t="str">
        <f>CLEAN("SAUK")</f>
        <v>SAUK</v>
      </c>
      <c r="B2637" s="2" t="str">
        <f>CLEAN("TOWN OF FREEDOM")</f>
        <v>TOWN OF FREEDOM</v>
      </c>
      <c r="C2637" s="2" t="s">
        <v>129</v>
      </c>
      <c r="D2637" s="2" t="str">
        <f>CLEAN("5976-00-74")</f>
        <v>5976-00-74</v>
      </c>
      <c r="E2637" s="3" t="str">
        <f>CLEAN("T FREEDOM  FREEDOM ROAD")</f>
        <v>T FREEDOM  FREEDOM ROAD</v>
      </c>
      <c r="F2637" s="3" t="str">
        <f>CLEAN("SEELEY CREEK BRIDGE B-56-0233")</f>
        <v>SEELEY CREEK BRIDGE B-56-0233</v>
      </c>
      <c r="G2637" s="3" t="str">
        <f>CLEAN("CONST OPS/BRIDGE REPLACEMENT")</f>
        <v>CONST OPS/BRIDGE REPLACEMENT</v>
      </c>
      <c r="H2637" s="2" t="str">
        <f t="shared" si="408"/>
        <v>LOC STR</v>
      </c>
      <c r="I2637" s="2" t="str">
        <f t="shared" si="409"/>
        <v>205</v>
      </c>
    </row>
    <row r="2638" spans="1:9" x14ac:dyDescent="0.35">
      <c r="A2638" s="2" t="str">
        <f>CLEAN("SAUK")</f>
        <v>SAUK</v>
      </c>
      <c r="B2638" s="2" t="str">
        <f>CLEAN("TOWN OF FREEDOM")</f>
        <v>TOWN OF FREEDOM</v>
      </c>
      <c r="C2638" s="2" t="s">
        <v>465</v>
      </c>
      <c r="D2638" s="2" t="str">
        <f>CLEAN("5976-00-76")</f>
        <v>5976-00-76</v>
      </c>
      <c r="E2638" s="3" t="str">
        <f>CLEAN("T OF FREEDOM  DIAMOND HILL ROAD")</f>
        <v>T OF FREEDOM  DIAMOND HILL ROAD</v>
      </c>
      <c r="F2638" s="3" t="str">
        <f>CLEAN("SEELEY CREEK BRIDGE  B-56-0243")</f>
        <v>SEELEY CREEK BRIDGE  B-56-0243</v>
      </c>
      <c r="G2638" s="3" t="str">
        <f>CLEAN("CONST/BRIDGE REPLACEMENT")</f>
        <v>CONST/BRIDGE REPLACEMENT</v>
      </c>
      <c r="H2638" s="2" t="str">
        <f t="shared" si="408"/>
        <v>LOC STR</v>
      </c>
      <c r="I2638" s="2" t="str">
        <f t="shared" si="409"/>
        <v>205</v>
      </c>
    </row>
    <row r="2639" spans="1:9" x14ac:dyDescent="0.35">
      <c r="A2639" s="2" t="str">
        <f>CLEAN("JACKSON")</f>
        <v>JACKSON</v>
      </c>
      <c r="B2639" s="2" t="str">
        <f>CLEAN("TOWN OF GARFIELD")</f>
        <v>TOWN OF GARFIELD</v>
      </c>
      <c r="C2639" s="2" t="s">
        <v>1262</v>
      </c>
      <c r="D2639" s="2" t="str">
        <f>CLEAN("7249-00-70")</f>
        <v>7249-00-70</v>
      </c>
      <c r="E2639" s="3" t="str">
        <f>CLEAN("T GARFIELD  MOE ROAD (EAST)")</f>
        <v>T GARFIELD  MOE ROAD (EAST)</v>
      </c>
      <c r="F2639" s="3" t="str">
        <f>CLEAN("NF BUFFALO RIVER BRIDGE B-27-0174")</f>
        <v>NF BUFFALO RIVER BRIDGE B-27-0174</v>
      </c>
      <c r="G2639" s="3" t="str">
        <f>CLEAN("CONSTRUCTION/BRRPL")</f>
        <v>CONSTRUCTION/BRRPL</v>
      </c>
      <c r="H2639" s="2" t="str">
        <f t="shared" si="408"/>
        <v>LOC STR</v>
      </c>
      <c r="I2639" s="2" t="str">
        <f t="shared" si="409"/>
        <v>205</v>
      </c>
    </row>
    <row r="2640" spans="1:9" x14ac:dyDescent="0.35">
      <c r="A2640" s="2" t="str">
        <f>CLEAN("WAUKESHA")</f>
        <v>WAUKESHA</v>
      </c>
      <c r="B2640" s="2" t="str">
        <f>CLEAN("TOWN OF GENESEE")</f>
        <v>TOWN OF GENESEE</v>
      </c>
      <c r="C2640" s="2" t="s">
        <v>1018</v>
      </c>
      <c r="D2640" s="2" t="str">
        <f>CLEAN("2450-00-73")</f>
        <v>2450-00-73</v>
      </c>
      <c r="E2640" s="3" t="str">
        <f>CLEAN("T GENESEE  GENESEE RD")</f>
        <v>T GENESEE  GENESEE RD</v>
      </c>
      <c r="F2640" s="3" t="str">
        <f>CLEAN("SAYLESVILLE CREEK TO ROCKWOOD TRAIL")</f>
        <v>SAYLESVILLE CREEK TO ROCKWOOD TRAIL</v>
      </c>
      <c r="G2640" s="3" t="str">
        <f>CLEAN("CONST/RSRF25")</f>
        <v>CONST/RSRF25</v>
      </c>
      <c r="H2640" s="2" t="str">
        <f>CLEAN("STH 059")</f>
        <v>STH 059</v>
      </c>
      <c r="I2640" s="2" t="str">
        <f>CLEAN("303")</f>
        <v>303</v>
      </c>
    </row>
    <row r="2641" spans="1:9" x14ac:dyDescent="0.35">
      <c r="A2641" s="2" t="str">
        <f>CLEAN("DOOR")</f>
        <v>DOOR</v>
      </c>
      <c r="B2641" s="2" t="str">
        <f>CLEAN("TOWN OF GIBRALTAR")</f>
        <v>TOWN OF GIBRALTAR</v>
      </c>
      <c r="C2641" s="2" t="s">
        <v>3072</v>
      </c>
      <c r="D2641" s="2" t="str">
        <f>CLEAN("4424-01-00")</f>
        <v>4424-01-00</v>
      </c>
      <c r="E2641" s="3" t="str">
        <f>CLEAN("T GIBRALTAR  FEASIBILTY STUDY")</f>
        <v>T GIBRALTAR  FEASIBILTY STUDY</v>
      </c>
      <c r="F2641" s="3" t="str">
        <f>CLEAN("EGG HARBOR - SISTER BAY")</f>
        <v>EGG HARBOR - SISTER BAY</v>
      </c>
      <c r="G2641" s="3" t="str">
        <f>CLEAN("PLAN/MISC")</f>
        <v>PLAN/MISC</v>
      </c>
      <c r="H2641" s="2" t="str">
        <f>CLEAN("STH 042")</f>
        <v>STH 042</v>
      </c>
      <c r="I2641" s="2" t="str">
        <f>CLEAN("290")</f>
        <v>290</v>
      </c>
    </row>
    <row r="2642" spans="1:9" x14ac:dyDescent="0.35">
      <c r="A2642" s="2" t="str">
        <f>CLEAN("DOUGLAS")</f>
        <v>DOUGLAS</v>
      </c>
      <c r="B2642" s="2" t="str">
        <f>CLEAN("TOWN OF GORDON")</f>
        <v>TOWN OF GORDON</v>
      </c>
      <c r="C2642" s="2" t="s">
        <v>1816</v>
      </c>
      <c r="D2642" s="2" t="str">
        <f>CLEAN("8386-00-02")</f>
        <v>8386-00-02</v>
      </c>
      <c r="E2642" s="3" t="str">
        <f>CLEAN("T GORDON  WEST MAIL ROAD")</f>
        <v>T GORDON  WEST MAIL ROAD</v>
      </c>
      <c r="F2642" s="3" t="str">
        <f>CLEAN("ST CROIX RIVER BRIDGE P-16-0119")</f>
        <v>ST CROIX RIVER BRIDGE P-16-0119</v>
      </c>
      <c r="G2642" s="3" t="str">
        <f>CLEAN("DESIGN/BRIDGE REPLACEMENT")</f>
        <v>DESIGN/BRIDGE REPLACEMENT</v>
      </c>
      <c r="H2642" s="2" t="str">
        <f>CLEAN("LOC STR")</f>
        <v>LOC STR</v>
      </c>
      <c r="I2642" s="2" t="str">
        <f>CLEAN("205")</f>
        <v>205</v>
      </c>
    </row>
    <row r="2643" spans="1:9" x14ac:dyDescent="0.35">
      <c r="A2643" s="2" t="str">
        <f>CLEAN("DOUGLAS")</f>
        <v>DOUGLAS</v>
      </c>
      <c r="B2643" s="2" t="str">
        <f>CLEAN("TOWN OF GORDON")</f>
        <v>TOWN OF GORDON</v>
      </c>
      <c r="C2643" s="2" t="s">
        <v>1448</v>
      </c>
      <c r="D2643" s="2" t="str">
        <f>CLEAN("8386-00-03")</f>
        <v>8386-00-03</v>
      </c>
      <c r="E2643" s="3" t="str">
        <f>CLEAN("T GORDON  EAST MAIL ROAD")</f>
        <v>T GORDON  EAST MAIL ROAD</v>
      </c>
      <c r="F2643" s="3" t="str">
        <f>CLEAN("EAU CLAIRE RIVER BRIDGE P-16-0125")</f>
        <v>EAU CLAIRE RIVER BRIDGE P-16-0125</v>
      </c>
      <c r="G2643" s="3" t="str">
        <f>CLEAN("DESIGN - FULL PS&amp;E BRRPL")</f>
        <v>DESIGN - FULL PS&amp;E BRRPL</v>
      </c>
      <c r="H2643" s="2" t="str">
        <f>CLEAN("LOC STR")</f>
        <v>LOC STR</v>
      </c>
      <c r="I2643" s="2" t="str">
        <f>CLEAN("205")</f>
        <v>205</v>
      </c>
    </row>
    <row r="2644" spans="1:9" x14ac:dyDescent="0.35">
      <c r="A2644" s="2" t="str">
        <f>CLEAN("DOUGLAS")</f>
        <v>DOUGLAS</v>
      </c>
      <c r="B2644" s="2" t="str">
        <f>CLEAN("TOWN OF GORDON")</f>
        <v>TOWN OF GORDON</v>
      </c>
      <c r="C2644" s="2" t="s">
        <v>1207</v>
      </c>
      <c r="D2644" s="2" t="str">
        <f>CLEAN("8386-00-72")</f>
        <v>8386-00-72</v>
      </c>
      <c r="E2644" s="3" t="str">
        <f>CLEAN("T GORDON  WEST MAIL ROAD")</f>
        <v>T GORDON  WEST MAIL ROAD</v>
      </c>
      <c r="F2644" s="3" t="str">
        <f>CLEAN("ST CROIX RIVER BRIDGE B-16-0147")</f>
        <v>ST CROIX RIVER BRIDGE B-16-0147</v>
      </c>
      <c r="G2644" s="3" t="str">
        <f>CLEAN("CONSTRUCTION/BRIDGE REPLACEMENT")</f>
        <v>CONSTRUCTION/BRIDGE REPLACEMENT</v>
      </c>
      <c r="H2644" s="2" t="str">
        <f>CLEAN("LOC STR")</f>
        <v>LOC STR</v>
      </c>
      <c r="I2644" s="2" t="str">
        <f>CLEAN("205")</f>
        <v>205</v>
      </c>
    </row>
    <row r="2645" spans="1:9" x14ac:dyDescent="0.35">
      <c r="A2645" s="2" t="str">
        <f>CLEAN("DOUGLAS")</f>
        <v>DOUGLAS</v>
      </c>
      <c r="B2645" s="2" t="str">
        <f>CLEAN("TOWN OF GORDON")</f>
        <v>TOWN OF GORDON</v>
      </c>
      <c r="C2645" s="2" t="s">
        <v>1178</v>
      </c>
      <c r="D2645" s="2" t="str">
        <f>CLEAN("8386-00-73")</f>
        <v>8386-00-73</v>
      </c>
      <c r="E2645" s="3" t="str">
        <f>CLEAN("T GORDON  EAST MAIL ROAD")</f>
        <v>T GORDON  EAST MAIL ROAD</v>
      </c>
      <c r="F2645" s="3" t="str">
        <f>CLEAN("EAU CLAIRE RIVER BRIDGE B-16-0150")</f>
        <v>EAU CLAIRE RIVER BRIDGE B-16-0150</v>
      </c>
      <c r="G2645" s="3" t="str">
        <f>CLEAN("CONSTRUCTION/BRIDGE REPLACEMENT")</f>
        <v>CONSTRUCTION/BRIDGE REPLACEMENT</v>
      </c>
      <c r="H2645" s="2" t="str">
        <f>CLEAN("LOC STR")</f>
        <v>LOC STR</v>
      </c>
      <c r="I2645" s="2" t="str">
        <f>CLEAN("205")</f>
        <v>205</v>
      </c>
    </row>
    <row r="2646" spans="1:9" x14ac:dyDescent="0.35">
      <c r="A2646" s="2" t="str">
        <f t="shared" ref="A2646:A2657" si="410">CLEAN("OUTAGAMIE")</f>
        <v>OUTAGAMIE</v>
      </c>
      <c r="B2646" s="2" t="str">
        <f t="shared" ref="B2646:B2657" si="411">CLEAN("TOWN OF GRAND CHUTE")</f>
        <v>TOWN OF GRAND CHUTE</v>
      </c>
      <c r="C2646" s="2" t="s">
        <v>852</v>
      </c>
      <c r="D2646" s="2" t="str">
        <f>CLEAN("1130-64-71")</f>
        <v>1130-64-71</v>
      </c>
      <c r="E2646" s="3" t="str">
        <f>CLEAN("APPLETON - DE PERE")</f>
        <v>APPLETON - DE PERE</v>
      </c>
      <c r="F2646" s="3" t="str">
        <f>CLEAN("I-41 MAINLINE  STH 96-RR BRIDGE")</f>
        <v>I-41 MAINLINE  STH 96-RR BRIDGE</v>
      </c>
      <c r="G2646" s="3" t="str">
        <f>CLEAN("CONST/RECSTE MAINLINE STH 96-RR BRD")</f>
        <v>CONST/RECSTE MAINLINE STH 96-RR BRD</v>
      </c>
      <c r="H2646" s="2" t="str">
        <f>CLEAN("IH  041")</f>
        <v>IH  041</v>
      </c>
      <c r="I2646" s="2" t="str">
        <f>CLEAN("302")</f>
        <v>302</v>
      </c>
    </row>
    <row r="2647" spans="1:9" x14ac:dyDescent="0.35">
      <c r="A2647" s="2" t="str">
        <f t="shared" si="410"/>
        <v>OUTAGAMIE</v>
      </c>
      <c r="B2647" s="2" t="str">
        <f t="shared" si="411"/>
        <v>TOWN OF GRAND CHUTE</v>
      </c>
      <c r="C2647" s="2" t="s">
        <v>862</v>
      </c>
      <c r="D2647" s="2" t="str">
        <f>CLEAN("1130-64-72")</f>
        <v>1130-64-72</v>
      </c>
      <c r="E2647" s="3" t="str">
        <f>CLEAN("APPLETON - DE PERE")</f>
        <v>APPLETON - DE PERE</v>
      </c>
      <c r="F2647" s="3" t="str">
        <f>CLEAN("I-41 MAINLINE  RR BRIDGE-LYNNDALE")</f>
        <v>I-41 MAINLINE  RR BRIDGE-LYNNDALE</v>
      </c>
      <c r="G2647" s="3" t="str">
        <f>CLEAN("CONST/RECSTE RR BRIDGE-LYNNDALE")</f>
        <v>CONST/RECSTE RR BRIDGE-LYNNDALE</v>
      </c>
      <c r="H2647" s="2" t="str">
        <f>CLEAN("IH  041")</f>
        <v>IH  041</v>
      </c>
      <c r="I2647" s="2" t="str">
        <f>CLEAN("302")</f>
        <v>302</v>
      </c>
    </row>
    <row r="2648" spans="1:9" x14ac:dyDescent="0.35">
      <c r="A2648" s="2" t="str">
        <f t="shared" si="410"/>
        <v>OUTAGAMIE</v>
      </c>
      <c r="B2648" s="2" t="str">
        <f t="shared" si="411"/>
        <v>TOWN OF GRAND CHUTE</v>
      </c>
      <c r="C2648" s="2" t="s">
        <v>856</v>
      </c>
      <c r="D2648" s="2" t="str">
        <f>CLEAN("1130-64-73")</f>
        <v>1130-64-73</v>
      </c>
      <c r="E2648" s="3" t="str">
        <f>CLEAN("APPLETON - DE PERE")</f>
        <v>APPLETON - DE PERE</v>
      </c>
      <c r="F2648" s="3" t="str">
        <f>CLEAN("I-41 MAINLINE  LYNNDALE-MEADE")</f>
        <v>I-41 MAINLINE  LYNNDALE-MEADE</v>
      </c>
      <c r="G2648" s="3" t="str">
        <f>CLEAN("CONST/RECSTE MNLINE LYNNDALE-MEADE")</f>
        <v>CONST/RECSTE MNLINE LYNNDALE-MEADE</v>
      </c>
      <c r="H2648" s="2" t="str">
        <f>CLEAN("IH  041")</f>
        <v>IH  041</v>
      </c>
      <c r="I2648" s="2" t="str">
        <f>CLEAN("302")</f>
        <v>302</v>
      </c>
    </row>
    <row r="2649" spans="1:9" x14ac:dyDescent="0.35">
      <c r="A2649" s="2" t="str">
        <f t="shared" si="410"/>
        <v>OUTAGAMIE</v>
      </c>
      <c r="B2649" s="2" t="str">
        <f t="shared" si="411"/>
        <v>TOWN OF GRAND CHUTE</v>
      </c>
      <c r="C2649" s="2" t="s">
        <v>867</v>
      </c>
      <c r="D2649" s="2" t="str">
        <f>CLEAN("1130-64-77")</f>
        <v>1130-64-77</v>
      </c>
      <c r="E2649" s="3" t="str">
        <f>CLEAN("APPLETON - DE PERE")</f>
        <v>APPLETON - DE PERE</v>
      </c>
      <c r="F2649" s="3" t="str">
        <f>CLEAN("RICHMOND ST (WIS 47) INTCHG")</f>
        <v>RICHMOND ST (WIS 47) INTCHG</v>
      </c>
      <c r="G2649" s="3" t="str">
        <f>CLEAN("CONST/RECSTE STH 47 INTCHG")</f>
        <v>CONST/RECSTE STH 47 INTCHG</v>
      </c>
      <c r="H2649" s="2" t="str">
        <f>CLEAN("STH 047")</f>
        <v>STH 047</v>
      </c>
      <c r="I2649" s="2" t="str">
        <f>CLEAN("302")</f>
        <v>302</v>
      </c>
    </row>
    <row r="2650" spans="1:9" x14ac:dyDescent="0.35">
      <c r="A2650" s="2" t="str">
        <f t="shared" si="410"/>
        <v>OUTAGAMIE</v>
      </c>
      <c r="B2650" s="2" t="str">
        <f t="shared" si="411"/>
        <v>TOWN OF GRAND CHUTE</v>
      </c>
      <c r="C2650" s="2" t="s">
        <v>845</v>
      </c>
      <c r="D2650" s="2" t="str">
        <f>CLEAN("1130-64-81")</f>
        <v>1130-64-81</v>
      </c>
      <c r="E2650" s="3" t="str">
        <f>CLEAN("APPLETON - DE PERE")</f>
        <v>APPLETON - DE PERE</v>
      </c>
      <c r="F2650" s="3" t="str">
        <f>CLEAN("CAPITOL DRIVE OVERPASS B440317")</f>
        <v>CAPITOL DRIVE OVERPASS B440317</v>
      </c>
      <c r="G2650" s="3" t="str">
        <f>CLEAN("CONST/RECSTE B440317 OVERPASS")</f>
        <v>CONST/RECSTE B440317 OVERPASS</v>
      </c>
      <c r="H2650" s="2" t="str">
        <f>CLEAN("IH  041")</f>
        <v>IH  041</v>
      </c>
      <c r="I2650" s="2" t="str">
        <f>CLEAN("302")</f>
        <v>302</v>
      </c>
    </row>
    <row r="2651" spans="1:9" x14ac:dyDescent="0.35">
      <c r="A2651" s="2" t="str">
        <f t="shared" si="410"/>
        <v>OUTAGAMIE</v>
      </c>
      <c r="B2651" s="2" t="str">
        <f t="shared" si="411"/>
        <v>TOWN OF GRAND CHUTE</v>
      </c>
      <c r="C2651" s="2" t="s">
        <v>1401</v>
      </c>
      <c r="D2651" s="2" t="str">
        <f>CLEAN("4075-40-00")</f>
        <v>4075-40-00</v>
      </c>
      <c r="E2651" s="3" t="str">
        <f>CLEAN("W WISCONSIN AVE  T OF GRAND CHUTE")</f>
        <v>W WISCONSIN AVE  T OF GRAND CHUTE</v>
      </c>
      <c r="F2651" s="3" t="str">
        <f>CLEAN("CASALOMA DRIVE - N BADGER AVENUE")</f>
        <v>CASALOMA DRIVE - N BADGER AVENUE</v>
      </c>
      <c r="G2651" s="3" t="str">
        <f>CLEAN("DESIGN")</f>
        <v>DESIGN</v>
      </c>
      <c r="H2651" s="2" t="str">
        <f>CLEAN("STH 096")</f>
        <v>STH 096</v>
      </c>
      <c r="I2651" s="2" t="str">
        <f>CLEAN("303")</f>
        <v>303</v>
      </c>
    </row>
    <row r="2652" spans="1:9" x14ac:dyDescent="0.35">
      <c r="A2652" s="2" t="str">
        <f t="shared" si="410"/>
        <v>OUTAGAMIE</v>
      </c>
      <c r="B2652" s="2" t="str">
        <f t="shared" si="411"/>
        <v>TOWN OF GRAND CHUTE</v>
      </c>
      <c r="C2652" s="2" t="s">
        <v>3327</v>
      </c>
      <c r="D2652" s="2" t="str">
        <f>CLEAN("4075-40-21")</f>
        <v>4075-40-21</v>
      </c>
      <c r="E2652" s="3" t="str">
        <f>CLEAN("W WISCONSIN AVE  T OF GRAND CHUTE")</f>
        <v>W WISCONSIN AVE  T OF GRAND CHUTE</v>
      </c>
      <c r="F2652" s="3" t="str">
        <f>CLEAN("CASALOMA DRIVE - N BADGER AVENUE")</f>
        <v>CASALOMA DRIVE - N BADGER AVENUE</v>
      </c>
      <c r="G2652" s="3" t="str">
        <f>CLEAN("RW/RE ACQUISITION RSRF")</f>
        <v>RW/RE ACQUISITION RSRF</v>
      </c>
      <c r="H2652" s="2" t="str">
        <f>CLEAN("STH 096")</f>
        <v>STH 096</v>
      </c>
      <c r="I2652" s="2" t="str">
        <f>CLEAN("303")</f>
        <v>303</v>
      </c>
    </row>
    <row r="2653" spans="1:9" x14ac:dyDescent="0.35">
      <c r="A2653" s="2" t="str">
        <f t="shared" si="410"/>
        <v>OUTAGAMIE</v>
      </c>
      <c r="B2653" s="2" t="str">
        <f t="shared" si="411"/>
        <v>TOWN OF GRAND CHUTE</v>
      </c>
      <c r="C2653" s="2" t="s">
        <v>302</v>
      </c>
      <c r="D2653" s="2" t="str">
        <f>CLEAN("4075-40-71")</f>
        <v>4075-40-71</v>
      </c>
      <c r="E2653" s="3" t="str">
        <f>CLEAN("W WISCONSIN AVE  T OF GRAND CHUTE")</f>
        <v>W WISCONSIN AVE  T OF GRAND CHUTE</v>
      </c>
      <c r="F2653" s="3" t="str">
        <f>CLEAN("CASALOMA DRIVE - N BADGER AVENUE")</f>
        <v>CASALOMA DRIVE - N BADGER AVENUE</v>
      </c>
      <c r="G2653" s="3" t="str">
        <f>CLEAN("CONST OPS/RSRF20")</f>
        <v>CONST OPS/RSRF20</v>
      </c>
      <c r="H2653" s="2" t="str">
        <f>CLEAN("STH 096")</f>
        <v>STH 096</v>
      </c>
      <c r="I2653" s="2" t="str">
        <f>CLEAN("303")</f>
        <v>303</v>
      </c>
    </row>
    <row r="2654" spans="1:9" x14ac:dyDescent="0.35">
      <c r="A2654" s="2" t="str">
        <f t="shared" si="410"/>
        <v>OUTAGAMIE</v>
      </c>
      <c r="B2654" s="2" t="str">
        <f t="shared" si="411"/>
        <v>TOWN OF GRAND CHUTE</v>
      </c>
      <c r="C2654" s="2" t="s">
        <v>2483</v>
      </c>
      <c r="D2654" s="2" t="str">
        <f>CLEAN("4657-26-00")</f>
        <v>4657-26-00</v>
      </c>
      <c r="E2654" s="3" t="str">
        <f>CLEAN("T GRAND CHUTE  SPENCER STREET")</f>
        <v>T GRAND CHUTE  SPENCER STREET</v>
      </c>
      <c r="F2654" s="3" t="str">
        <f>CLEAN("S NICOLET ROAD TO S BLUEMOUND DRIVE")</f>
        <v>S NICOLET ROAD TO S BLUEMOUND DRIVE</v>
      </c>
      <c r="G2654" s="3" t="str">
        <f>CLEAN("DSN/FULL PSE/RECST")</f>
        <v>DSN/FULL PSE/RECST</v>
      </c>
      <c r="H2654" s="2" t="str">
        <f>CLEAN("LOC STR")</f>
        <v>LOC STR</v>
      </c>
      <c r="I2654" s="2" t="str">
        <f>CLEAN("206")</f>
        <v>206</v>
      </c>
    </row>
    <row r="2655" spans="1:9" x14ac:dyDescent="0.35">
      <c r="A2655" s="2" t="str">
        <f t="shared" si="410"/>
        <v>OUTAGAMIE</v>
      </c>
      <c r="B2655" s="2" t="str">
        <f t="shared" si="411"/>
        <v>TOWN OF GRAND CHUTE</v>
      </c>
      <c r="C2655" s="2" t="s">
        <v>2359</v>
      </c>
      <c r="D2655" s="2" t="str">
        <f>CLEAN("4657-28-00")</f>
        <v>4657-28-00</v>
      </c>
      <c r="E2655" s="3" t="str">
        <f>CLEAN("T GRAND CHUTE  WEST SUNNYVIEW ROAD")</f>
        <v>T GRAND CHUTE  WEST SUNNYVIEW ROAD</v>
      </c>
      <c r="F2655" s="3" t="str">
        <f>CLEAN("TRIBUTARY OF MUD CREEK BRIDGE")</f>
        <v>TRIBUTARY OF MUD CREEK BRIDGE</v>
      </c>
      <c r="G2655" s="3" t="str">
        <f>CLEAN("DSGN/FULL PSE/BRRPL")</f>
        <v>DSGN/FULL PSE/BRRPL</v>
      </c>
      <c r="H2655" s="2" t="str">
        <f>CLEAN("LOC STR")</f>
        <v>LOC STR</v>
      </c>
      <c r="I2655" s="2" t="str">
        <f>CLEAN("205")</f>
        <v>205</v>
      </c>
    </row>
    <row r="2656" spans="1:9" x14ac:dyDescent="0.35">
      <c r="A2656" s="2" t="str">
        <f t="shared" si="410"/>
        <v>OUTAGAMIE</v>
      </c>
      <c r="B2656" s="2" t="str">
        <f t="shared" si="411"/>
        <v>TOWN OF GRAND CHUTE</v>
      </c>
      <c r="C2656" s="2" t="s">
        <v>2387</v>
      </c>
      <c r="D2656" s="2" t="str">
        <f>CLEAN("4666-00-00")</f>
        <v>4666-00-00</v>
      </c>
      <c r="E2656" s="3" t="str">
        <f>CLEAN("T GRAND CHUTE  STH 96 SIDEWALK")</f>
        <v>T GRAND CHUTE  STH 96 SIDEWALK</v>
      </c>
      <c r="F2656" s="3" t="str">
        <f>CLEAN("N WESTHILL BLVD - N BLUEMOUND DR")</f>
        <v>N WESTHILL BLVD - N BLUEMOUND DR</v>
      </c>
      <c r="G2656" s="3" t="str">
        <f>CLEAN("DSGN/FULL PSE/MISC")</f>
        <v>DSGN/FULL PSE/MISC</v>
      </c>
      <c r="H2656" s="2" t="str">
        <f>CLEAN("STH 096")</f>
        <v>STH 096</v>
      </c>
      <c r="I2656" s="2" t="str">
        <f>CLEAN("290")</f>
        <v>290</v>
      </c>
    </row>
    <row r="2657" spans="1:9" x14ac:dyDescent="0.35">
      <c r="A2657" s="2" t="str">
        <f t="shared" si="410"/>
        <v>OUTAGAMIE</v>
      </c>
      <c r="B2657" s="2" t="str">
        <f t="shared" si="411"/>
        <v>TOWN OF GRAND CHUTE</v>
      </c>
      <c r="C2657" s="2" t="s">
        <v>1397</v>
      </c>
      <c r="D2657" s="2" t="str">
        <f>CLEAN("6526-00-71")</f>
        <v>6526-00-71</v>
      </c>
      <c r="E2657" s="3" t="str">
        <f>CLEAN("T. GRAND CHUTE  COLLEGE AVE")</f>
        <v>T. GRAND CHUTE  COLLEGE AVE</v>
      </c>
      <c r="F2657" s="3" t="str">
        <f>CLEAN("IH41 - BLUEMOUND DRIVE")</f>
        <v>IH41 - BLUEMOUND DRIVE</v>
      </c>
      <c r="G2657" s="3" t="str">
        <f>CLEAN("DES-BLD/BRRPL B-44-0482")</f>
        <v>DES-BLD/BRRPL B-44-0482</v>
      </c>
      <c r="H2657" s="2" t="str">
        <f>CLEAN("STH 125")</f>
        <v>STH 125</v>
      </c>
      <c r="I2657" s="2" t="str">
        <f>CLEAN("303")</f>
        <v>303</v>
      </c>
    </row>
    <row r="2658" spans="1:9" x14ac:dyDescent="0.35">
      <c r="A2658" s="2" t="str">
        <f>CLEAN("MARATHON")</f>
        <v>MARATHON</v>
      </c>
      <c r="B2658" s="2" t="str">
        <f>CLEAN("TOWN OF GREEN VALLEY")</f>
        <v>TOWN OF GREEN VALLEY</v>
      </c>
      <c r="C2658" s="2" t="s">
        <v>898</v>
      </c>
      <c r="D2658" s="2" t="str">
        <f>CLEAN("6688-00-70")</f>
        <v>6688-00-70</v>
      </c>
      <c r="E2658" s="3" t="str">
        <f>CLEAN("T GREEN VALLEY  RANGELINE ROAD")</f>
        <v>T GREEN VALLEY  RANGELINE ROAD</v>
      </c>
      <c r="F2658" s="3" t="str">
        <f>CLEAN("LITTLE EAU PLEINE RVR BR B370466")</f>
        <v>LITTLE EAU PLEINE RVR BR B370466</v>
      </c>
      <c r="G2658" s="3" t="str">
        <f>CLEAN("CONST/REPLACEMENT")</f>
        <v>CONST/REPLACEMENT</v>
      </c>
      <c r="H2658" s="2" t="str">
        <f>CLEAN("LOC STR")</f>
        <v>LOC STR</v>
      </c>
      <c r="I2658" s="2" t="str">
        <f>CLEAN("205")</f>
        <v>205</v>
      </c>
    </row>
    <row r="2659" spans="1:9" x14ac:dyDescent="0.35">
      <c r="A2659" s="2" t="str">
        <f>CLEAN("SHAWANO")</f>
        <v>SHAWANO</v>
      </c>
      <c r="B2659" s="2" t="str">
        <f>CLEAN("TOWN OF GREEN VALLEY")</f>
        <v>TOWN OF GREEN VALLEY</v>
      </c>
      <c r="C2659" s="2" t="s">
        <v>959</v>
      </c>
      <c r="D2659" s="2" t="str">
        <f>CLEAN("9180-17-72")</f>
        <v>9180-17-72</v>
      </c>
      <c r="E2659" s="3" t="str">
        <f>CLEAN("SHAWANO - GILLETT")</f>
        <v>SHAWANO - GILLETT</v>
      </c>
      <c r="F2659" s="3" t="str">
        <f>CLEAN("CTH R TO OCONTO COUNTY LINE")</f>
        <v>CTH R TO OCONTO COUNTY LINE</v>
      </c>
      <c r="G2659" s="3" t="str">
        <f>CLEAN("CONST/RESURFACE")</f>
        <v>CONST/RESURFACE</v>
      </c>
      <c r="H2659" s="2" t="str">
        <f>CLEAN("STH 022")</f>
        <v>STH 022</v>
      </c>
      <c r="I2659" s="2" t="str">
        <f>CLEAN("303")</f>
        <v>303</v>
      </c>
    </row>
    <row r="2660" spans="1:9" x14ac:dyDescent="0.35">
      <c r="A2660" s="2" t="str">
        <f>CLEAN("OUTAGAMIE")</f>
        <v>OUTAGAMIE</v>
      </c>
      <c r="B2660" s="2" t="str">
        <f>CLEAN("TOWN OF GREENVILLE")</f>
        <v>TOWN OF GREENVILLE</v>
      </c>
      <c r="C2660" s="2" t="s">
        <v>844</v>
      </c>
      <c r="D2660" s="2" t="str">
        <f>CLEAN("1146-75-72")</f>
        <v>1146-75-72</v>
      </c>
      <c r="E2660" s="3" t="str">
        <f>CLEAN("STH 76-NEW LONDON")</f>
        <v>STH 76-NEW LONDON</v>
      </c>
      <c r="F2660" s="3" t="str">
        <f>CLEAN("CTH JJ - LILY OF THE VALLEY DR")</f>
        <v>CTH JJ - LILY OF THE VALLEY DR</v>
      </c>
      <c r="G2660" s="3" t="str">
        <f>CLEAN("CONST/RECSTE ADDITION LANES")</f>
        <v>CONST/RECSTE ADDITION LANES</v>
      </c>
      <c r="H2660" s="2" t="str">
        <f>CLEAN("STH 015")</f>
        <v>STH 015</v>
      </c>
      <c r="I2660" s="2" t="str">
        <f>CLEAN("302")</f>
        <v>302</v>
      </c>
    </row>
    <row r="2661" spans="1:9" x14ac:dyDescent="0.35">
      <c r="A2661" s="2" t="str">
        <f>CLEAN("GRANT")</f>
        <v>GRANT</v>
      </c>
      <c r="B2661" s="2" t="str">
        <f t="shared" ref="B2661:B2666" si="412">CLEAN("TOWN OF HARRISON")</f>
        <v>TOWN OF HARRISON</v>
      </c>
      <c r="C2661" s="2" t="s">
        <v>1750</v>
      </c>
      <c r="D2661" s="2" t="str">
        <f>CLEAN("5629-00-06")</f>
        <v>5629-00-06</v>
      </c>
      <c r="E2661" s="3" t="str">
        <f>CLEAN("T HARRISON  QUARRY ROAD")</f>
        <v>T HARRISON  QUARRY ROAD</v>
      </c>
      <c r="F2661" s="3" t="str">
        <f>CLEAN("BLAKELY BRANCH BRIDGE P-22-0316")</f>
        <v>BLAKELY BRANCH BRIDGE P-22-0316</v>
      </c>
      <c r="G2661" s="3" t="str">
        <f>CLEAN("DESIGN/BRIDGE REPLACEMENT")</f>
        <v>DESIGN/BRIDGE REPLACEMENT</v>
      </c>
      <c r="H2661" s="2" t="str">
        <f t="shared" ref="H2661:H2678" si="413">CLEAN("LOC STR")</f>
        <v>LOC STR</v>
      </c>
      <c r="I2661" s="2" t="str">
        <f t="shared" ref="I2661:I2678" si="414">CLEAN("205")</f>
        <v>205</v>
      </c>
    </row>
    <row r="2662" spans="1:9" x14ac:dyDescent="0.35">
      <c r="A2662" s="2" t="str">
        <f>CLEAN("GRANT")</f>
        <v>GRANT</v>
      </c>
      <c r="B2662" s="2" t="str">
        <f t="shared" si="412"/>
        <v>TOWN OF HARRISON</v>
      </c>
      <c r="C2662" s="2" t="s">
        <v>1757</v>
      </c>
      <c r="D2662" s="2" t="str">
        <f>CLEAN("5629-00-07")</f>
        <v>5629-00-07</v>
      </c>
      <c r="E2662" s="3" t="str">
        <f>CLEAN("T HARRISON  ELM ROAD")</f>
        <v>T HARRISON  ELM ROAD</v>
      </c>
      <c r="F2662" s="3" t="str">
        <f>CLEAN("BR PLATTE RIVER BRIDGE P-22-0317")</f>
        <v>BR PLATTE RIVER BRIDGE P-22-0317</v>
      </c>
      <c r="G2662" s="3" t="str">
        <f>CLEAN("DESIGN/BRIDGE REPLACEMENT")</f>
        <v>DESIGN/BRIDGE REPLACEMENT</v>
      </c>
      <c r="H2662" s="2" t="str">
        <f t="shared" si="413"/>
        <v>LOC STR</v>
      </c>
      <c r="I2662" s="2" t="str">
        <f t="shared" si="414"/>
        <v>205</v>
      </c>
    </row>
    <row r="2663" spans="1:9" x14ac:dyDescent="0.35">
      <c r="A2663" s="2" t="str">
        <f>CLEAN("GRANT")</f>
        <v>GRANT</v>
      </c>
      <c r="B2663" s="2" t="str">
        <f t="shared" si="412"/>
        <v>TOWN OF HARRISON</v>
      </c>
      <c r="C2663" s="2" t="s">
        <v>402</v>
      </c>
      <c r="D2663" s="2" t="str">
        <f>CLEAN("5629-00-76")</f>
        <v>5629-00-76</v>
      </c>
      <c r="E2663" s="3" t="str">
        <f>CLEAN("T HARRISON  QUARRY ROAD")</f>
        <v>T HARRISON  QUARRY ROAD</v>
      </c>
      <c r="F2663" s="3" t="str">
        <f>CLEAN("BLAKELY BRANCH BRIDGE B-22-0312")</f>
        <v>BLAKELY BRANCH BRIDGE B-22-0312</v>
      </c>
      <c r="G2663" s="3" t="str">
        <f>CLEAN("CONST/BRIDGE REPLACEMENT")</f>
        <v>CONST/BRIDGE REPLACEMENT</v>
      </c>
      <c r="H2663" s="2" t="str">
        <f t="shared" si="413"/>
        <v>LOC STR</v>
      </c>
      <c r="I2663" s="2" t="str">
        <f t="shared" si="414"/>
        <v>205</v>
      </c>
    </row>
    <row r="2664" spans="1:9" x14ac:dyDescent="0.35">
      <c r="A2664" s="2" t="str">
        <f>CLEAN("GRANT")</f>
        <v>GRANT</v>
      </c>
      <c r="B2664" s="2" t="str">
        <f t="shared" si="412"/>
        <v>TOWN OF HARRISON</v>
      </c>
      <c r="C2664" s="2" t="s">
        <v>409</v>
      </c>
      <c r="D2664" s="2" t="str">
        <f>CLEAN("5629-00-77")</f>
        <v>5629-00-77</v>
      </c>
      <c r="E2664" s="3" t="str">
        <f>CLEAN("T HARRISON  ELM ROAD")</f>
        <v>T HARRISON  ELM ROAD</v>
      </c>
      <c r="F2664" s="3" t="str">
        <f>CLEAN("BR PLATTE RIVER BRIDGE B-22-0313")</f>
        <v>BR PLATTE RIVER BRIDGE B-22-0313</v>
      </c>
      <c r="G2664" s="3" t="str">
        <f>CLEAN("CONST/BRIDGE REPLACEMENT")</f>
        <v>CONST/BRIDGE REPLACEMENT</v>
      </c>
      <c r="H2664" s="2" t="str">
        <f t="shared" si="413"/>
        <v>LOC STR</v>
      </c>
      <c r="I2664" s="2" t="str">
        <f t="shared" si="414"/>
        <v>205</v>
      </c>
    </row>
    <row r="2665" spans="1:9" x14ac:dyDescent="0.35">
      <c r="A2665" s="2" t="str">
        <f>CLEAN("LINCOLN")</f>
        <v>LINCOLN</v>
      </c>
      <c r="B2665" s="2" t="str">
        <f t="shared" si="412"/>
        <v>TOWN OF HARRISON</v>
      </c>
      <c r="C2665" s="2" t="s">
        <v>1986</v>
      </c>
      <c r="D2665" s="2" t="str">
        <f>CLEAN("9854-00-00")</f>
        <v>9854-00-00</v>
      </c>
      <c r="E2665" s="3" t="str">
        <f>CLEAN("T HARRISON  WOODFORD ROAD")</f>
        <v>T HARRISON  WOODFORD ROAD</v>
      </c>
      <c r="F2665" s="3" t="str">
        <f>CLEAN("NOISY CREEK BRIDGE  P-35-0023")</f>
        <v>NOISY CREEK BRIDGE  P-35-0023</v>
      </c>
      <c r="G2665" s="3" t="str">
        <f>CLEAN("DESIGN/FULL PSE/REPLACEMENT")</f>
        <v>DESIGN/FULL PSE/REPLACEMENT</v>
      </c>
      <c r="H2665" s="2" t="str">
        <f t="shared" si="413"/>
        <v>LOC STR</v>
      </c>
      <c r="I2665" s="2" t="str">
        <f t="shared" si="414"/>
        <v>205</v>
      </c>
    </row>
    <row r="2666" spans="1:9" x14ac:dyDescent="0.35">
      <c r="A2666" s="2" t="str">
        <f>CLEAN("LINCOLN")</f>
        <v>LINCOLN</v>
      </c>
      <c r="B2666" s="2" t="str">
        <f t="shared" si="412"/>
        <v>TOWN OF HARRISON</v>
      </c>
      <c r="C2666" s="2" t="s">
        <v>913</v>
      </c>
      <c r="D2666" s="2" t="str">
        <f>CLEAN("9854-00-70")</f>
        <v>9854-00-70</v>
      </c>
      <c r="E2666" s="3" t="str">
        <f>CLEAN("T HARRISON  WOODFORD ROAD")</f>
        <v>T HARRISON  WOODFORD ROAD</v>
      </c>
      <c r="F2666" s="3" t="str">
        <f>CLEAN("NOISY CREEK BRIDGE  B-35-0161")</f>
        <v>NOISY CREEK BRIDGE  B-35-0161</v>
      </c>
      <c r="G2666" s="3" t="str">
        <f>CLEAN("CONST/REPLACEMENT")</f>
        <v>CONST/REPLACEMENT</v>
      </c>
      <c r="H2666" s="2" t="str">
        <f t="shared" si="413"/>
        <v>LOC STR</v>
      </c>
      <c r="I2666" s="2" t="str">
        <f t="shared" si="414"/>
        <v>205</v>
      </c>
    </row>
    <row r="2667" spans="1:9" x14ac:dyDescent="0.35">
      <c r="A2667" s="2" t="str">
        <f>CLEAN("PIERCE")</f>
        <v>PIERCE</v>
      </c>
      <c r="B2667" s="2" t="str">
        <f>CLEAN("TOWN OF HARTLAND")</f>
        <v>TOWN OF HARTLAND</v>
      </c>
      <c r="C2667" s="2" t="s">
        <v>1441</v>
      </c>
      <c r="D2667" s="2" t="str">
        <f>CLEAN("7895-00-00")</f>
        <v>7895-00-00</v>
      </c>
      <c r="E2667" s="3" t="str">
        <f>CLEAN("T HARTLAND  490TH STREET")</f>
        <v>T HARTLAND  490TH STREET</v>
      </c>
      <c r="F2667" s="3" t="str">
        <f>CLEAN("DRY RUN BRIDGE B-47-0191")</f>
        <v>DRY RUN BRIDGE B-47-0191</v>
      </c>
      <c r="G2667" s="3" t="str">
        <f>CLEAN("DESIGN - FULL PS&amp;E BRRPL")</f>
        <v>DESIGN - FULL PS&amp;E BRRPL</v>
      </c>
      <c r="H2667" s="2" t="str">
        <f t="shared" si="413"/>
        <v>LOC STR</v>
      </c>
      <c r="I2667" s="2" t="str">
        <f t="shared" si="414"/>
        <v>205</v>
      </c>
    </row>
    <row r="2668" spans="1:9" x14ac:dyDescent="0.35">
      <c r="A2668" s="2" t="str">
        <f>CLEAN("PIERCE")</f>
        <v>PIERCE</v>
      </c>
      <c r="B2668" s="2" t="str">
        <f>CLEAN("TOWN OF HARTLAND")</f>
        <v>TOWN OF HARTLAND</v>
      </c>
      <c r="C2668" s="2" t="s">
        <v>1440</v>
      </c>
      <c r="D2668" s="2" t="str">
        <f>CLEAN("7895-00-01")</f>
        <v>7895-00-01</v>
      </c>
      <c r="E2668" s="3" t="str">
        <f>CLEAN("T HARTLAND  570TH STREET")</f>
        <v>T HARTLAND  570TH STREET</v>
      </c>
      <c r="F2668" s="3" t="str">
        <f>CLEAN("DRY RUN BRIDGE B-47-0190")</f>
        <v>DRY RUN BRIDGE B-47-0190</v>
      </c>
      <c r="G2668" s="3" t="str">
        <f>CLEAN("DESIGN - FULL PS&amp;E BRRPL")</f>
        <v>DESIGN - FULL PS&amp;E BRRPL</v>
      </c>
      <c r="H2668" s="2" t="str">
        <f t="shared" si="413"/>
        <v>LOC STR</v>
      </c>
      <c r="I2668" s="2" t="str">
        <f t="shared" si="414"/>
        <v>205</v>
      </c>
    </row>
    <row r="2669" spans="1:9" x14ac:dyDescent="0.35">
      <c r="A2669" s="2" t="str">
        <f>CLEAN("PIERCE")</f>
        <v>PIERCE</v>
      </c>
      <c r="B2669" s="2" t="str">
        <f>CLEAN("TOWN OF HARTLAND")</f>
        <v>TOWN OF HARTLAND</v>
      </c>
      <c r="C2669" s="2" t="s">
        <v>1172</v>
      </c>
      <c r="D2669" s="2" t="str">
        <f>CLEAN("7895-00-70")</f>
        <v>7895-00-70</v>
      </c>
      <c r="E2669" s="3" t="str">
        <f>CLEAN("T HARTLAND  490TH STREET")</f>
        <v>T HARTLAND  490TH STREET</v>
      </c>
      <c r="F2669" s="3" t="str">
        <f>CLEAN("DRY RUN BRIDGE B-47-0231")</f>
        <v>DRY RUN BRIDGE B-47-0231</v>
      </c>
      <c r="G2669" s="3" t="str">
        <f>CLEAN("CONSTRUCTION/BRIDGE REPLACEMENT")</f>
        <v>CONSTRUCTION/BRIDGE REPLACEMENT</v>
      </c>
      <c r="H2669" s="2" t="str">
        <f t="shared" si="413"/>
        <v>LOC STR</v>
      </c>
      <c r="I2669" s="2" t="str">
        <f t="shared" si="414"/>
        <v>205</v>
      </c>
    </row>
    <row r="2670" spans="1:9" x14ac:dyDescent="0.35">
      <c r="A2670" s="2" t="str">
        <f>CLEAN("PIERCE")</f>
        <v>PIERCE</v>
      </c>
      <c r="B2670" s="2" t="str">
        <f>CLEAN("TOWN OF HARTLAND")</f>
        <v>TOWN OF HARTLAND</v>
      </c>
      <c r="C2670" s="2" t="s">
        <v>1173</v>
      </c>
      <c r="D2670" s="2" t="str">
        <f>CLEAN("7895-00-71")</f>
        <v>7895-00-71</v>
      </c>
      <c r="E2670" s="3" t="str">
        <f>CLEAN("T HARTLAND  570TH STREET")</f>
        <v>T HARTLAND  570TH STREET</v>
      </c>
      <c r="F2670" s="3" t="str">
        <f>CLEAN("DRY RUN BRIDGE B-47-0232")</f>
        <v>DRY RUN BRIDGE B-47-0232</v>
      </c>
      <c r="G2670" s="3" t="str">
        <f>CLEAN("CONSTRUCTION/BRIDGE REPLACEMENT")</f>
        <v>CONSTRUCTION/BRIDGE REPLACEMENT</v>
      </c>
      <c r="H2670" s="2" t="str">
        <f t="shared" si="413"/>
        <v>LOC STR</v>
      </c>
      <c r="I2670" s="2" t="str">
        <f t="shared" si="414"/>
        <v>205</v>
      </c>
    </row>
    <row r="2671" spans="1:9" x14ac:dyDescent="0.35">
      <c r="A2671" s="2" t="str">
        <f>CLEAN("JEFFERSON")</f>
        <v>JEFFERSON</v>
      </c>
      <c r="B2671" s="2" t="str">
        <f>CLEAN("TOWN OF HEBRON")</f>
        <v>TOWN OF HEBRON</v>
      </c>
      <c r="C2671" s="2" t="s">
        <v>1774</v>
      </c>
      <c r="D2671" s="2" t="str">
        <f>CLEAN("3634-00-05")</f>
        <v>3634-00-05</v>
      </c>
      <c r="E2671" s="3" t="str">
        <f>CLEAN("T HEBRON  HAGEDORN ROAD")</f>
        <v>T HEBRON  HAGEDORN ROAD</v>
      </c>
      <c r="F2671" s="3" t="str">
        <f>CLEAN("DUCK CREEK BRIDGE P-28-0071")</f>
        <v>DUCK CREEK BRIDGE P-28-0071</v>
      </c>
      <c r="G2671" s="3" t="str">
        <f>CLEAN("DESIGN/BRIDGE REPLACEMENT")</f>
        <v>DESIGN/BRIDGE REPLACEMENT</v>
      </c>
      <c r="H2671" s="2" t="str">
        <f t="shared" si="413"/>
        <v>LOC STR</v>
      </c>
      <c r="I2671" s="2" t="str">
        <f t="shared" si="414"/>
        <v>205</v>
      </c>
    </row>
    <row r="2672" spans="1:9" x14ac:dyDescent="0.35">
      <c r="A2672" s="2" t="str">
        <f>CLEAN("JEFFERSON")</f>
        <v>JEFFERSON</v>
      </c>
      <c r="B2672" s="2" t="str">
        <f>CLEAN("TOWN OF HEBRON")</f>
        <v>TOWN OF HEBRON</v>
      </c>
      <c r="C2672" s="2" t="s">
        <v>433</v>
      </c>
      <c r="D2672" s="2" t="str">
        <f>CLEAN("3634-00-75")</f>
        <v>3634-00-75</v>
      </c>
      <c r="E2672" s="3" t="str">
        <f>CLEAN("T HEBRON  HAGEDORN ROAD")</f>
        <v>T HEBRON  HAGEDORN ROAD</v>
      </c>
      <c r="F2672" s="3" t="str">
        <f>CLEAN("DUCK CREEK BRIDGE B-28-0204")</f>
        <v>DUCK CREEK BRIDGE B-28-0204</v>
      </c>
      <c r="G2672" s="3" t="str">
        <f>CLEAN("CONST/BRIDGE REPLACEMENT")</f>
        <v>CONST/BRIDGE REPLACEMENT</v>
      </c>
      <c r="H2672" s="2" t="str">
        <f t="shared" si="413"/>
        <v>LOC STR</v>
      </c>
      <c r="I2672" s="2" t="str">
        <f t="shared" si="414"/>
        <v>205</v>
      </c>
    </row>
    <row r="2673" spans="1:9" x14ac:dyDescent="0.35">
      <c r="A2673" s="2" t="str">
        <f>CLEAN("DODGE")</f>
        <v>DODGE</v>
      </c>
      <c r="B2673" s="2" t="str">
        <f>CLEAN("TOWN OF HERMAN")</f>
        <v>TOWN OF HERMAN</v>
      </c>
      <c r="C2673" s="2" t="s">
        <v>78</v>
      </c>
      <c r="D2673" s="2" t="str">
        <f>CLEAN("3818-00-00")</f>
        <v>3818-00-00</v>
      </c>
      <c r="E2673" s="3" t="str">
        <f>CLEAN("TOWN OF HERMAN  BUCHANAN RD")</f>
        <v>TOWN OF HERMAN  BUCHANAN RD</v>
      </c>
      <c r="F2673" s="3" t="str">
        <f>CLEAN("BUTLER CREEK BRIDGE  P-14-0903")</f>
        <v>BUTLER CREEK BRIDGE  P-14-0903</v>
      </c>
      <c r="G2673" s="3" t="str">
        <f>CLEAN("CONST OPS/BRIDGE REPLACEMENT")</f>
        <v>CONST OPS/BRIDGE REPLACEMENT</v>
      </c>
      <c r="H2673" s="2" t="str">
        <f t="shared" si="413"/>
        <v>LOC STR</v>
      </c>
      <c r="I2673" s="2" t="str">
        <f t="shared" si="414"/>
        <v>205</v>
      </c>
    </row>
    <row r="2674" spans="1:9" x14ac:dyDescent="0.35">
      <c r="A2674" s="2" t="str">
        <f>CLEAN("DODGE")</f>
        <v>DODGE</v>
      </c>
      <c r="B2674" s="2" t="str">
        <f>CLEAN("TOWN OF HERMAN")</f>
        <v>TOWN OF HERMAN</v>
      </c>
      <c r="C2674" s="2" t="s">
        <v>77</v>
      </c>
      <c r="D2674" s="2" t="str">
        <f>CLEAN("3818-00-70")</f>
        <v>3818-00-70</v>
      </c>
      <c r="E2674" s="3" t="str">
        <f>CLEAN("TOWN OF HERMAN  BUCHANAN RD")</f>
        <v>TOWN OF HERMAN  BUCHANAN RD</v>
      </c>
      <c r="F2674" s="3" t="str">
        <f>CLEAN("BUTLER CREEK BRIDGE  B-14-0224")</f>
        <v>BUTLER CREEK BRIDGE  B-14-0224</v>
      </c>
      <c r="G2674" s="3" t="str">
        <f>CLEAN("CONST OPS/BRIDGE REPLACEMENT")</f>
        <v>CONST OPS/BRIDGE REPLACEMENT</v>
      </c>
      <c r="H2674" s="2" t="str">
        <f t="shared" si="413"/>
        <v>LOC STR</v>
      </c>
      <c r="I2674" s="2" t="str">
        <f t="shared" si="414"/>
        <v>205</v>
      </c>
    </row>
    <row r="2675" spans="1:9" x14ac:dyDescent="0.35">
      <c r="A2675" s="2" t="str">
        <f>CLEAN("GRANT")</f>
        <v>GRANT</v>
      </c>
      <c r="B2675" s="2" t="str">
        <f>CLEAN("TOWN OF HICKORY GROVE")</f>
        <v>TOWN OF HICKORY GROVE</v>
      </c>
      <c r="C2675" s="2" t="s">
        <v>1813</v>
      </c>
      <c r="D2675" s="2" t="str">
        <f>CLEAN("5892-00-03")</f>
        <v>5892-00-03</v>
      </c>
      <c r="E2675" s="3" t="str">
        <f>CLEAN("T HICKORY GROVE  SLEEPY HOLLOW ROAD")</f>
        <v>T HICKORY GROVE  SLEEPY HOLLOW ROAD</v>
      </c>
      <c r="F2675" s="3" t="str">
        <f>CLEAN("SAUNDERS CREEK BRIDGE P-22-0938")</f>
        <v>SAUNDERS CREEK BRIDGE P-22-0938</v>
      </c>
      <c r="G2675" s="3" t="str">
        <f>CLEAN("DESIGN/BRIDGE REPLACEMENT")</f>
        <v>DESIGN/BRIDGE REPLACEMENT</v>
      </c>
      <c r="H2675" s="2" t="str">
        <f t="shared" si="413"/>
        <v>LOC STR</v>
      </c>
      <c r="I2675" s="2" t="str">
        <f t="shared" si="414"/>
        <v>205</v>
      </c>
    </row>
    <row r="2676" spans="1:9" x14ac:dyDescent="0.35">
      <c r="A2676" s="2" t="str">
        <f>CLEAN("GRANT")</f>
        <v>GRANT</v>
      </c>
      <c r="B2676" s="2" t="str">
        <f>CLEAN("TOWN OF HICKORY GROVE")</f>
        <v>TOWN OF HICKORY GROVE</v>
      </c>
      <c r="C2676" s="2" t="s">
        <v>463</v>
      </c>
      <c r="D2676" s="2" t="str">
        <f>CLEAN("5892-00-73")</f>
        <v>5892-00-73</v>
      </c>
      <c r="E2676" s="3" t="str">
        <f>CLEAN("T HICKORY GROVE  SLEEPY HOLLOW ROAD")</f>
        <v>T HICKORY GROVE  SLEEPY HOLLOW ROAD</v>
      </c>
      <c r="F2676" s="3" t="str">
        <f>CLEAN("SAUNDERS CREEK BRIDGE B-22-0315")</f>
        <v>SAUNDERS CREEK BRIDGE B-22-0315</v>
      </c>
      <c r="G2676" s="3" t="str">
        <f>CLEAN("CONST/BRIDGE REPLACEMENT")</f>
        <v>CONST/BRIDGE REPLACEMENT</v>
      </c>
      <c r="H2676" s="2" t="str">
        <f t="shared" si="413"/>
        <v>LOC STR</v>
      </c>
      <c r="I2676" s="2" t="str">
        <f t="shared" si="414"/>
        <v>205</v>
      </c>
    </row>
    <row r="2677" spans="1:9" x14ac:dyDescent="0.35">
      <c r="A2677" s="2" t="str">
        <f>CLEAN("JACKSON")</f>
        <v>JACKSON</v>
      </c>
      <c r="B2677" s="2" t="str">
        <f>CLEAN("TOWN OF HIXTON")</f>
        <v>TOWN OF HIXTON</v>
      </c>
      <c r="C2677" s="2" t="s">
        <v>1406</v>
      </c>
      <c r="D2677" s="2" t="str">
        <f>CLEAN("7250-00-00")</f>
        <v>7250-00-00</v>
      </c>
      <c r="E2677" s="3" t="str">
        <f>CLEAN("T HIXTON  CAIN ROAD")</f>
        <v>T HIXTON  CAIN ROAD</v>
      </c>
      <c r="F2677" s="3" t="str">
        <f>CLEAN("N BR TREMPEALEAU RIVER BR P-27-0932")</f>
        <v>N BR TREMPEALEAU RIVER BR P-27-0932</v>
      </c>
      <c r="G2677" s="3" t="str">
        <f>CLEAN("DESIGN - BRIDGE REPLACEMENT")</f>
        <v>DESIGN - BRIDGE REPLACEMENT</v>
      </c>
      <c r="H2677" s="2" t="str">
        <f t="shared" si="413"/>
        <v>LOC STR</v>
      </c>
      <c r="I2677" s="2" t="str">
        <f t="shared" si="414"/>
        <v>205</v>
      </c>
    </row>
    <row r="2678" spans="1:9" x14ac:dyDescent="0.35">
      <c r="A2678" s="2" t="str">
        <f>CLEAN("JACKSON")</f>
        <v>JACKSON</v>
      </c>
      <c r="B2678" s="2" t="str">
        <f>CLEAN("TOWN OF HIXTON")</f>
        <v>TOWN OF HIXTON</v>
      </c>
      <c r="C2678" s="2" t="s">
        <v>1193</v>
      </c>
      <c r="D2678" s="2" t="str">
        <f>CLEAN("7250-00-70")</f>
        <v>7250-00-70</v>
      </c>
      <c r="E2678" s="3" t="str">
        <f>CLEAN("T HIXTON  CAIN ROAD")</f>
        <v>T HIXTON  CAIN ROAD</v>
      </c>
      <c r="F2678" s="3" t="str">
        <f>CLEAN("N BR TREMPEALEAU RIVER BR B-27-0178")</f>
        <v>N BR TREMPEALEAU RIVER BR B-27-0178</v>
      </c>
      <c r="G2678" s="3" t="str">
        <f>CLEAN("CONSTRUCTION/BRIDGE REPLACEMENT")</f>
        <v>CONSTRUCTION/BRIDGE REPLACEMENT</v>
      </c>
      <c r="H2678" s="2" t="str">
        <f t="shared" si="413"/>
        <v>LOC STR</v>
      </c>
      <c r="I2678" s="2" t="str">
        <f t="shared" si="414"/>
        <v>205</v>
      </c>
    </row>
    <row r="2679" spans="1:9" x14ac:dyDescent="0.35">
      <c r="A2679" s="2" t="str">
        <f>CLEAN("LA CROSSE")</f>
        <v>LA CROSSE</v>
      </c>
      <c r="B2679" s="2" t="str">
        <f>CLEAN("TOWN OF HOLLAND")</f>
        <v>TOWN OF HOLLAND</v>
      </c>
      <c r="C2679" s="2" t="s">
        <v>1495</v>
      </c>
      <c r="D2679" s="2" t="str">
        <f>CLEAN("7269-00-02")</f>
        <v>7269-00-02</v>
      </c>
      <c r="E2679" s="3" t="str">
        <f>CLEAN("T HOLLAND  HOLLAND BLUFF TRAIL")</f>
        <v>T HOLLAND  HOLLAND BLUFF TRAIL</v>
      </c>
      <c r="F2679" s="3" t="str">
        <f>CLEAN("BLUFFVIEW CT TO SYLVESTER RD")</f>
        <v>BLUFFVIEW CT TO SYLVESTER RD</v>
      </c>
      <c r="G2679" s="3" t="str">
        <f>CLEAN("DESIGN - FULL PS&amp;E MULTI USE PATH")</f>
        <v>DESIGN - FULL PS&amp;E MULTI USE PATH</v>
      </c>
      <c r="H2679" s="2" t="str">
        <f>CLEAN("NON HWY")</f>
        <v>NON HWY</v>
      </c>
      <c r="I2679" s="2" t="str">
        <f>CLEAN("290")</f>
        <v>290</v>
      </c>
    </row>
    <row r="2680" spans="1:9" x14ac:dyDescent="0.35">
      <c r="A2680" s="2" t="str">
        <f>CLEAN("LA CROSSE")</f>
        <v>LA CROSSE</v>
      </c>
      <c r="B2680" s="2" t="str">
        <f>CLEAN("TOWN OF HOLLAND")</f>
        <v>TOWN OF HOLLAND</v>
      </c>
      <c r="C2680" s="2" t="s">
        <v>16</v>
      </c>
      <c r="D2680" s="2" t="str">
        <f>CLEAN("7269-00-72")</f>
        <v>7269-00-72</v>
      </c>
      <c r="E2680" s="3" t="str">
        <f>CLEAN("T HOLLAND  HOLLAND BLUFF TRAIL")</f>
        <v>T HOLLAND  HOLLAND BLUFF TRAIL</v>
      </c>
      <c r="F2680" s="3" t="str">
        <f>CLEAN("BLUFFVIEW CT TO SLYVESTER RD")</f>
        <v>BLUFFVIEW CT TO SLYVESTER RD</v>
      </c>
      <c r="G2680" s="3" t="str">
        <f>CLEAN("BIKE/PD TRAIL")</f>
        <v>BIKE/PD TRAIL</v>
      </c>
      <c r="H2680" s="2" t="str">
        <f>CLEAN("NON HWY")</f>
        <v>NON HWY</v>
      </c>
      <c r="I2680" s="2" t="str">
        <f>CLEAN("290")</f>
        <v>290</v>
      </c>
    </row>
    <row r="2681" spans="1:9" x14ac:dyDescent="0.35">
      <c r="A2681" s="2" t="str">
        <f>CLEAN("LA CROSSE")</f>
        <v>LA CROSSE</v>
      </c>
      <c r="B2681" s="2" t="str">
        <f>CLEAN("TOWN OF HOLLAND")</f>
        <v>TOWN OF HOLLAND</v>
      </c>
      <c r="C2681" s="2" t="s">
        <v>2061</v>
      </c>
      <c r="D2681" s="2" t="str">
        <f>CLEAN("7269-03-00")</f>
        <v>7269-03-00</v>
      </c>
      <c r="E2681" s="3" t="str">
        <f>CLEAN("T HOLLAND  CTH MH")</f>
        <v>T HOLLAND  CTH MH</v>
      </c>
      <c r="F2681" s="3" t="str">
        <f>CLEAN("SUNRISE LANE TO BRIGGS DRIVE")</f>
        <v>SUNRISE LANE TO BRIGGS DRIVE</v>
      </c>
      <c r="G2681" s="3" t="str">
        <f>CLEAN("DESIGN/PLAN CHECK REVIEW")</f>
        <v>DESIGN/PLAN CHECK REVIEW</v>
      </c>
      <c r="H2681" s="2" t="str">
        <f>CLEAN("NON HWY")</f>
        <v>NON HWY</v>
      </c>
      <c r="I2681" s="2" t="str">
        <f>CLEAN("290")</f>
        <v>290</v>
      </c>
    </row>
    <row r="2682" spans="1:9" x14ac:dyDescent="0.35">
      <c r="A2682" s="2" t="str">
        <f>CLEAN("MARATHON")</f>
        <v>MARATHON</v>
      </c>
      <c r="B2682" s="2" t="str">
        <f>CLEAN("TOWN OF HOLTON")</f>
        <v>TOWN OF HOLTON</v>
      </c>
      <c r="C2682" s="2" t="s">
        <v>2007</v>
      </c>
      <c r="D2682" s="2" t="str">
        <f>CLEAN("9517-04-02")</f>
        <v>9517-04-02</v>
      </c>
      <c r="E2682" s="3" t="str">
        <f>CLEAN("T HOLTON  POPE AVENUE")</f>
        <v>T HOLTON  POPE AVENUE</v>
      </c>
      <c r="F2682" s="3" t="str">
        <f>CLEAN("W BR BIG EAU PLEINE RVR BDGE P37960")</f>
        <v>W BR BIG EAU PLEINE RVR BDGE P37960</v>
      </c>
      <c r="G2682" s="3" t="str">
        <f>CLEAN("DESIGN/FULL PSE/REPLACEMENT")</f>
        <v>DESIGN/FULL PSE/REPLACEMENT</v>
      </c>
      <c r="H2682" s="2" t="str">
        <f t="shared" ref="H2682:H2691" si="415">CLEAN("LOC STR")</f>
        <v>LOC STR</v>
      </c>
      <c r="I2682" s="2" t="str">
        <f t="shared" ref="I2682:I2691" si="416">CLEAN("205")</f>
        <v>205</v>
      </c>
    </row>
    <row r="2683" spans="1:9" x14ac:dyDescent="0.35">
      <c r="A2683" s="2" t="str">
        <f>CLEAN("MARATHON")</f>
        <v>MARATHON</v>
      </c>
      <c r="B2683" s="2" t="str">
        <f>CLEAN("TOWN OF HOLTON")</f>
        <v>TOWN OF HOLTON</v>
      </c>
      <c r="C2683" s="2" t="s">
        <v>890</v>
      </c>
      <c r="D2683" s="2" t="str">
        <f>CLEAN("9517-04-71")</f>
        <v>9517-04-71</v>
      </c>
      <c r="E2683" s="3" t="str">
        <f>CLEAN("STH 13 - CTH F")</f>
        <v>STH 13 - CTH F</v>
      </c>
      <c r="F2683" s="3" t="str">
        <f>CLEAN("EAST BR BIG EAU PLEINE RIVER BRIDGE")</f>
        <v>EAST BR BIG EAU PLEINE RIVER BRIDGE</v>
      </c>
      <c r="G2683" s="3" t="str">
        <f>CLEAN("CONST/REPLACEMENT")</f>
        <v>CONST/REPLACEMENT</v>
      </c>
      <c r="H2683" s="2" t="str">
        <f t="shared" si="415"/>
        <v>LOC STR</v>
      </c>
      <c r="I2683" s="2" t="str">
        <f t="shared" si="416"/>
        <v>205</v>
      </c>
    </row>
    <row r="2684" spans="1:9" x14ac:dyDescent="0.35">
      <c r="A2684" s="2" t="str">
        <f>CLEAN("MARATHON")</f>
        <v>MARATHON</v>
      </c>
      <c r="B2684" s="2" t="str">
        <f>CLEAN("TOWN OF HOLTON")</f>
        <v>TOWN OF HOLTON</v>
      </c>
      <c r="C2684" s="2" t="s">
        <v>935</v>
      </c>
      <c r="D2684" s="2" t="str">
        <f>CLEAN("9517-04-72")</f>
        <v>9517-04-72</v>
      </c>
      <c r="E2684" s="3" t="str">
        <f>CLEAN("T HOLTON  POPE AVENUE")</f>
        <v>T HOLTON  POPE AVENUE</v>
      </c>
      <c r="F2684" s="3" t="str">
        <f>CLEAN("W BR BIG EAU PLEINE RVR BDGE B37476")</f>
        <v>W BR BIG EAU PLEINE RVR BDGE B37476</v>
      </c>
      <c r="G2684" s="3" t="str">
        <f>CLEAN("CONST/REPLACEMENT")</f>
        <v>CONST/REPLACEMENT</v>
      </c>
      <c r="H2684" s="2" t="str">
        <f t="shared" si="415"/>
        <v>LOC STR</v>
      </c>
      <c r="I2684" s="2" t="str">
        <f t="shared" si="416"/>
        <v>205</v>
      </c>
    </row>
    <row r="2685" spans="1:9" x14ac:dyDescent="0.35">
      <c r="A2685" s="2" t="str">
        <f>CLEAN("OCONTO")</f>
        <v>OCONTO</v>
      </c>
      <c r="B2685" s="2" t="str">
        <f>CLEAN("TOWN OF HOW")</f>
        <v>TOWN OF HOW</v>
      </c>
      <c r="C2685" s="2" t="s">
        <v>1890</v>
      </c>
      <c r="D2685" s="2" t="str">
        <f>CLEAN("9068-00-00")</f>
        <v>9068-00-00</v>
      </c>
      <c r="E2685" s="3" t="str">
        <f>CLEAN("T HOW  PECORE ROAD")</f>
        <v>T HOW  PECORE ROAD</v>
      </c>
      <c r="F2685" s="3" t="str">
        <f>CLEAN("PECORE CREEK BRIDGE")</f>
        <v>PECORE CREEK BRIDGE</v>
      </c>
      <c r="G2685" s="3" t="str">
        <f>CLEAN("DESIGN/FULL PSE/BRBPL/P-42-922")</f>
        <v>DESIGN/FULL PSE/BRBPL/P-42-922</v>
      </c>
      <c r="H2685" s="2" t="str">
        <f t="shared" si="415"/>
        <v>LOC STR</v>
      </c>
      <c r="I2685" s="2" t="str">
        <f t="shared" si="416"/>
        <v>205</v>
      </c>
    </row>
    <row r="2686" spans="1:9" x14ac:dyDescent="0.35">
      <c r="A2686" s="2" t="str">
        <f>CLEAN("OCONTO")</f>
        <v>OCONTO</v>
      </c>
      <c r="B2686" s="2" t="str">
        <f>CLEAN("TOWN OF HOW")</f>
        <v>TOWN OF HOW</v>
      </c>
      <c r="C2686" s="2" t="s">
        <v>54</v>
      </c>
      <c r="D2686" s="2" t="str">
        <f>CLEAN("9068-00-01")</f>
        <v>9068-00-01</v>
      </c>
      <c r="E2686" s="3" t="str">
        <f>CLEAN("T HOW  PECORE ROAD")</f>
        <v>T HOW  PECORE ROAD</v>
      </c>
      <c r="F2686" s="3" t="str">
        <f>CLEAN("PECORE CREEK BRIDGE")</f>
        <v>PECORE CREEK BRIDGE</v>
      </c>
      <c r="G2686" s="3" t="str">
        <f>CLEAN("CONST OPS/BRBPL/B420137")</f>
        <v>CONST OPS/BRBPL/B420137</v>
      </c>
      <c r="H2686" s="2" t="str">
        <f t="shared" si="415"/>
        <v>LOC STR</v>
      </c>
      <c r="I2686" s="2" t="str">
        <f t="shared" si="416"/>
        <v>205</v>
      </c>
    </row>
    <row r="2687" spans="1:9" x14ac:dyDescent="0.35">
      <c r="A2687" s="2" t="str">
        <f>CLEAN("DODGE")</f>
        <v>DODGE</v>
      </c>
      <c r="B2687" s="2" t="str">
        <f>CLEAN("TOWN OF HUBBARD")</f>
        <v>TOWN OF HUBBARD</v>
      </c>
      <c r="C2687" s="2" t="s">
        <v>2095</v>
      </c>
      <c r="D2687" s="2" t="str">
        <f>CLEAN("3813-00-00")</f>
        <v>3813-00-00</v>
      </c>
      <c r="E2687" s="3" t="str">
        <f>CLEAN("TOWN OF HUBBARD  WILDCAT ROAD")</f>
        <v>TOWN OF HUBBARD  WILDCAT ROAD</v>
      </c>
      <c r="F2687" s="3" t="str">
        <f>CLEAN("WILDCAT CREEK BRIDGE  P-14-0078")</f>
        <v>WILDCAT CREEK BRIDGE  P-14-0078</v>
      </c>
      <c r="G2687" s="3" t="str">
        <f>CLEAN("DESIGN/PLAN CHECK REVIEW/BR REPLACE")</f>
        <v>DESIGN/PLAN CHECK REVIEW/BR REPLACE</v>
      </c>
      <c r="H2687" s="2" t="str">
        <f t="shared" si="415"/>
        <v>LOC STR</v>
      </c>
      <c r="I2687" s="2" t="str">
        <f t="shared" si="416"/>
        <v>205</v>
      </c>
    </row>
    <row r="2688" spans="1:9" x14ac:dyDescent="0.35">
      <c r="A2688" s="2" t="str">
        <f>CLEAN("DODGE")</f>
        <v>DODGE</v>
      </c>
      <c r="B2688" s="2" t="str">
        <f>CLEAN("TOWN OF HUBBARD")</f>
        <v>TOWN OF HUBBARD</v>
      </c>
      <c r="C2688" s="2" t="s">
        <v>473</v>
      </c>
      <c r="D2688" s="2" t="str">
        <f>CLEAN("3813-00-70")</f>
        <v>3813-00-70</v>
      </c>
      <c r="E2688" s="3" t="str">
        <f>CLEAN("TOWN OF HUBBARD  WILDCAT ROAD")</f>
        <v>TOWN OF HUBBARD  WILDCAT ROAD</v>
      </c>
      <c r="F2688" s="3" t="str">
        <f>CLEAN("WILDCAT CREEK BRIDGE  B-14-0227")</f>
        <v>WILDCAT CREEK BRIDGE  B-14-0227</v>
      </c>
      <c r="G2688" s="3" t="str">
        <f>CLEAN("CONST/BRIDGE REPLACEMENT")</f>
        <v>CONST/BRIDGE REPLACEMENT</v>
      </c>
      <c r="H2688" s="2" t="str">
        <f t="shared" si="415"/>
        <v>LOC STR</v>
      </c>
      <c r="I2688" s="2" t="str">
        <f t="shared" si="416"/>
        <v>205</v>
      </c>
    </row>
    <row r="2689" spans="1:9" x14ac:dyDescent="0.35">
      <c r="A2689" s="2" t="str">
        <f>CLEAN("ST. CROIX")</f>
        <v>ST. CROIX</v>
      </c>
      <c r="B2689" s="2" t="str">
        <f>CLEAN("TOWN OF HUDSON")</f>
        <v>TOWN OF HUDSON</v>
      </c>
      <c r="C2689" s="2" t="s">
        <v>1619</v>
      </c>
      <c r="D2689" s="2" t="str">
        <f>CLEAN("8944-01-04")</f>
        <v>8944-01-04</v>
      </c>
      <c r="E2689" s="3" t="str">
        <f>CLEAN("T HUDSON  TROUT BROOK/RUSTIC RD")</f>
        <v>T HUDSON  TROUT BROOK/RUSTIC RD</v>
      </c>
      <c r="F2689" s="3" t="str">
        <f>CLEAN("WILLOW RIVER BRIDGE P-55-0146")</f>
        <v>WILLOW RIVER BRIDGE P-55-0146</v>
      </c>
      <c r="G2689" s="3" t="str">
        <f>CLEAN("DESIGN - FULL PS&amp;E/BRRPL")</f>
        <v>DESIGN - FULL PS&amp;E/BRRPL</v>
      </c>
      <c r="H2689" s="2" t="str">
        <f t="shared" si="415"/>
        <v>LOC STR</v>
      </c>
      <c r="I2689" s="2" t="str">
        <f t="shared" si="416"/>
        <v>205</v>
      </c>
    </row>
    <row r="2690" spans="1:9" x14ac:dyDescent="0.35">
      <c r="A2690" s="2" t="str">
        <f>CLEAN("DODGE")</f>
        <v>DODGE</v>
      </c>
      <c r="B2690" s="2" t="str">
        <f>CLEAN("TOWN OF HUSTISFORD")</f>
        <v>TOWN OF HUSTISFORD</v>
      </c>
      <c r="C2690" s="2" t="s">
        <v>2084</v>
      </c>
      <c r="D2690" s="2" t="str">
        <f>CLEAN("3814-00-00")</f>
        <v>3814-00-00</v>
      </c>
      <c r="E2690" s="3" t="str">
        <f>CLEAN("T OF HUSTISFORD  ST. HELENA ROAD")</f>
        <v>T OF HUSTISFORD  ST. HELENA ROAD</v>
      </c>
      <c r="F2690" s="3" t="str">
        <f>CLEAN("DEAD CREEK BRIDGE  P-14-0106")</f>
        <v>DEAD CREEK BRIDGE  P-14-0106</v>
      </c>
      <c r="G2690" s="3" t="str">
        <f>CLEAN("DESIGN/PLAN CHECK REVIEW/BR REPLACE")</f>
        <v>DESIGN/PLAN CHECK REVIEW/BR REPLACE</v>
      </c>
      <c r="H2690" s="2" t="str">
        <f t="shared" si="415"/>
        <v>LOC STR</v>
      </c>
      <c r="I2690" s="2" t="str">
        <f t="shared" si="416"/>
        <v>205</v>
      </c>
    </row>
    <row r="2691" spans="1:9" x14ac:dyDescent="0.35">
      <c r="A2691" s="2" t="str">
        <f>CLEAN("DODGE")</f>
        <v>DODGE</v>
      </c>
      <c r="B2691" s="2" t="str">
        <f>CLEAN("TOWN OF HUSTISFORD")</f>
        <v>TOWN OF HUSTISFORD</v>
      </c>
      <c r="C2691" s="2" t="s">
        <v>432</v>
      </c>
      <c r="D2691" s="2" t="str">
        <f>CLEAN("3814-00-70")</f>
        <v>3814-00-70</v>
      </c>
      <c r="E2691" s="3" t="str">
        <f>CLEAN("T OF HUSTISFORD  ST. HELENA ROAD")</f>
        <v>T OF HUSTISFORD  ST. HELENA ROAD</v>
      </c>
      <c r="F2691" s="3" t="str">
        <f>CLEAN("DEAD CREEK BRIDGE  B-14-0228")</f>
        <v>DEAD CREEK BRIDGE  B-14-0228</v>
      </c>
      <c r="G2691" s="3" t="str">
        <f>CLEAN("CONST/BRIDGE REPLACEMENT")</f>
        <v>CONST/BRIDGE REPLACEMENT</v>
      </c>
      <c r="H2691" s="2" t="str">
        <f t="shared" si="415"/>
        <v>LOC STR</v>
      </c>
      <c r="I2691" s="2" t="str">
        <f t="shared" si="416"/>
        <v>205</v>
      </c>
    </row>
    <row r="2692" spans="1:9" x14ac:dyDescent="0.35">
      <c r="A2692" s="2" t="str">
        <f>CLEAN("BAYFIELD")</f>
        <v>BAYFIELD</v>
      </c>
      <c r="B2692" s="2" t="str">
        <f>CLEAN("TOWN OF IRON RIVER")</f>
        <v>TOWN OF IRON RIVER</v>
      </c>
      <c r="C2692" s="2" t="s">
        <v>1363</v>
      </c>
      <c r="D2692" s="2" t="str">
        <f>CLEAN("1180-00-75")</f>
        <v>1180-00-75</v>
      </c>
      <c r="E2692" s="3" t="str">
        <f>CLEAN("BRULE - INO")</f>
        <v>BRULE - INO</v>
      </c>
      <c r="F2692" s="3" t="str">
        <f>CLEAN("CTH A TO CTH E")</f>
        <v>CTH A TO CTH E</v>
      </c>
      <c r="G2692" s="3" t="str">
        <f>CLEAN("CONSTRUCTION/RESURFACING")</f>
        <v>CONSTRUCTION/RESURFACING</v>
      </c>
      <c r="H2692" s="2" t="str">
        <f>CLEAN("USH 002")</f>
        <v>USH 002</v>
      </c>
      <c r="I2692" s="2" t="str">
        <f>CLEAN("303")</f>
        <v>303</v>
      </c>
    </row>
    <row r="2693" spans="1:9" x14ac:dyDescent="0.35">
      <c r="A2693" s="2" t="str">
        <f>CLEAN("BAYFIELD")</f>
        <v>BAYFIELD</v>
      </c>
      <c r="B2693" s="2" t="str">
        <f>CLEAN("TOWN OF IRON RIVER")</f>
        <v>TOWN OF IRON RIVER</v>
      </c>
      <c r="C2693" s="2" t="s">
        <v>1129</v>
      </c>
      <c r="D2693" s="2" t="str">
        <f>CLEAN("8347-01-70")</f>
        <v>8347-01-70</v>
      </c>
      <c r="E2693" s="3" t="str">
        <f>CLEAN("T IRON RIVER  PEDESTRIAN IMPRVMNTS")</f>
        <v>T IRON RIVER  PEDESTRIAN IMPRVMNTS</v>
      </c>
      <c r="F2693" s="3" t="str">
        <f>CLEAN("USH 2 AND BOHN STREET SIDEWALKS")</f>
        <v>USH 2 AND BOHN STREET SIDEWALKS</v>
      </c>
      <c r="G2693" s="3" t="str">
        <f>CLEAN("CONSTR/PEDESTRIAN IMPRVMNTS/TAP")</f>
        <v>CONSTR/PEDESTRIAN IMPRVMNTS/TAP</v>
      </c>
      <c r="H2693" s="2" t="str">
        <f>CLEAN("NON HWY")</f>
        <v>NON HWY</v>
      </c>
      <c r="I2693" s="2" t="str">
        <f>CLEAN("290")</f>
        <v>290</v>
      </c>
    </row>
    <row r="2694" spans="1:9" x14ac:dyDescent="0.35">
      <c r="A2694" s="2" t="str">
        <f>CLEAN("SAUK")</f>
        <v>SAUK</v>
      </c>
      <c r="B2694" s="2" t="str">
        <f>CLEAN("TOWN OF IRONTON")</f>
        <v>TOWN OF IRONTON</v>
      </c>
      <c r="C2694" s="2" t="s">
        <v>1766</v>
      </c>
      <c r="D2694" s="2" t="str">
        <f>CLEAN("5978-00-04")</f>
        <v>5978-00-04</v>
      </c>
      <c r="E2694" s="3" t="str">
        <f>CLEAN("T OF IRONTON  MARSHALL ROAD")</f>
        <v>T OF IRONTON  MARSHALL ROAD</v>
      </c>
      <c r="F2694" s="3" t="str">
        <f>CLEAN("CARR VALLEY BR BRIDGE  P-56-0916")</f>
        <v>CARR VALLEY BR BRIDGE  P-56-0916</v>
      </c>
      <c r="G2694" s="3" t="str">
        <f>CLEAN("DESIGN/BRIDGE REPLACEMENT")</f>
        <v>DESIGN/BRIDGE REPLACEMENT</v>
      </c>
      <c r="H2694" s="2" t="str">
        <f t="shared" ref="H2694:H2699" si="417">CLEAN("LOC STR")</f>
        <v>LOC STR</v>
      </c>
      <c r="I2694" s="2" t="str">
        <f t="shared" ref="I2694:I2699" si="418">CLEAN("205")</f>
        <v>205</v>
      </c>
    </row>
    <row r="2695" spans="1:9" x14ac:dyDescent="0.35">
      <c r="A2695" s="2" t="str">
        <f>CLEAN("SAUK")</f>
        <v>SAUK</v>
      </c>
      <c r="B2695" s="2" t="str">
        <f>CLEAN("TOWN OF IRONTON")</f>
        <v>TOWN OF IRONTON</v>
      </c>
      <c r="C2695" s="2" t="s">
        <v>1427</v>
      </c>
      <c r="D2695" s="2" t="str">
        <f>CLEAN("5978-00-05")</f>
        <v>5978-00-05</v>
      </c>
      <c r="E2695" s="3" t="str">
        <f>CLEAN("TOWN OF IRONTON  PICKEL ROAD")</f>
        <v>TOWN OF IRONTON  PICKEL ROAD</v>
      </c>
      <c r="F2695" s="3" t="str">
        <f>CLEAN("BR NARROWS CREEK BRIDGE P-56-0918")</f>
        <v>BR NARROWS CREEK BRIDGE P-56-0918</v>
      </c>
      <c r="G2695" s="3" t="str">
        <f>CLEAN("DESIGN - FULL PS&amp;E BRRPL")</f>
        <v>DESIGN - FULL PS&amp;E BRRPL</v>
      </c>
      <c r="H2695" s="2" t="str">
        <f t="shared" si="417"/>
        <v>LOC STR</v>
      </c>
      <c r="I2695" s="2" t="str">
        <f t="shared" si="418"/>
        <v>205</v>
      </c>
    </row>
    <row r="2696" spans="1:9" x14ac:dyDescent="0.35">
      <c r="A2696" s="2" t="str">
        <f>CLEAN("SAUK")</f>
        <v>SAUK</v>
      </c>
      <c r="B2696" s="2" t="str">
        <f>CLEAN("TOWN OF IRONTON")</f>
        <v>TOWN OF IRONTON</v>
      </c>
      <c r="C2696" s="2" t="s">
        <v>431</v>
      </c>
      <c r="D2696" s="2" t="str">
        <f>CLEAN("5978-00-74")</f>
        <v>5978-00-74</v>
      </c>
      <c r="E2696" s="3" t="str">
        <f>CLEAN("T OF IRONTON  MARSHALL ROAD")</f>
        <v>T OF IRONTON  MARSHALL ROAD</v>
      </c>
      <c r="F2696" s="3" t="str">
        <f>CLEAN("CARR VALLEY BR BRIDGE  B-56-0244")</f>
        <v>CARR VALLEY BR BRIDGE  B-56-0244</v>
      </c>
      <c r="G2696" s="3" t="str">
        <f>CLEAN("CONST/BRIDGE REPLACEMENT")</f>
        <v>CONST/BRIDGE REPLACEMENT</v>
      </c>
      <c r="H2696" s="2" t="str">
        <f t="shared" si="417"/>
        <v>LOC STR</v>
      </c>
      <c r="I2696" s="2" t="str">
        <f t="shared" si="418"/>
        <v>205</v>
      </c>
    </row>
    <row r="2697" spans="1:9" x14ac:dyDescent="0.35">
      <c r="A2697" s="2" t="str">
        <f>CLEAN("SAUK")</f>
        <v>SAUK</v>
      </c>
      <c r="B2697" s="2" t="str">
        <f>CLEAN("TOWN OF IRONTON")</f>
        <v>TOWN OF IRONTON</v>
      </c>
      <c r="C2697" s="2" t="s">
        <v>71</v>
      </c>
      <c r="D2697" s="2" t="str">
        <f>CLEAN("5978-00-75")</f>
        <v>5978-00-75</v>
      </c>
      <c r="E2697" s="3" t="str">
        <f>CLEAN("TOWN OF IRONTON  PICKEL ROAD")</f>
        <v>TOWN OF IRONTON  PICKEL ROAD</v>
      </c>
      <c r="F2697" s="3" t="str">
        <f>CLEAN("BR NARROWS CREEK BRIDGE B-56-0253")</f>
        <v>BR NARROWS CREEK BRIDGE B-56-0253</v>
      </c>
      <c r="G2697" s="3" t="str">
        <f>CLEAN("CONST OPS/BRIDGE REPLACEMENT")</f>
        <v>CONST OPS/BRIDGE REPLACEMENT</v>
      </c>
      <c r="H2697" s="2" t="str">
        <f t="shared" si="417"/>
        <v>LOC STR</v>
      </c>
      <c r="I2697" s="2" t="str">
        <f t="shared" si="418"/>
        <v>205</v>
      </c>
    </row>
    <row r="2698" spans="1:9" x14ac:dyDescent="0.35">
      <c r="A2698" s="2" t="str">
        <f>CLEAN("JACKSON")</f>
        <v>JACKSON</v>
      </c>
      <c r="B2698" s="2" t="str">
        <f>CLEAN("TOWN OF IRVING")</f>
        <v>TOWN OF IRVING</v>
      </c>
      <c r="C2698" s="2" t="s">
        <v>1618</v>
      </c>
      <c r="D2698" s="2" t="str">
        <f>CLEAN("7251-00-01")</f>
        <v>7251-00-01</v>
      </c>
      <c r="E2698" s="3" t="str">
        <f>CLEAN("T IRVING  NICHOLS ROAD")</f>
        <v>T IRVING  NICHOLS ROAD</v>
      </c>
      <c r="F2698" s="3" t="str">
        <f>CLEAN("TROUT RUN CREEK BRIDGE B-27-0962")</f>
        <v>TROUT RUN CREEK BRIDGE B-27-0962</v>
      </c>
      <c r="G2698" s="3" t="str">
        <f>CLEAN("DESIGN - FULL PS&amp;E/BRRPL")</f>
        <v>DESIGN - FULL PS&amp;E/BRRPL</v>
      </c>
      <c r="H2698" s="2" t="str">
        <f t="shared" si="417"/>
        <v>LOC STR</v>
      </c>
      <c r="I2698" s="2" t="str">
        <f t="shared" si="418"/>
        <v>205</v>
      </c>
    </row>
    <row r="2699" spans="1:9" x14ac:dyDescent="0.35">
      <c r="A2699" s="2" t="str">
        <f>CLEAN("JACKSON")</f>
        <v>JACKSON</v>
      </c>
      <c r="B2699" s="2" t="str">
        <f>CLEAN("TOWN OF IRVING")</f>
        <v>TOWN OF IRVING</v>
      </c>
      <c r="C2699" s="2" t="s">
        <v>1274</v>
      </c>
      <c r="D2699" s="2" t="str">
        <f>CLEAN("7251-00-71")</f>
        <v>7251-00-71</v>
      </c>
      <c r="E2699" s="3" t="str">
        <f>CLEAN("T IRVING  NICHOLS ROAD")</f>
        <v>T IRVING  NICHOLS ROAD</v>
      </c>
      <c r="F2699" s="3" t="str">
        <f>CLEAN("TROUT RUN CREEK BRIDGE B-27-0184")</f>
        <v>TROUT RUN CREEK BRIDGE B-27-0184</v>
      </c>
      <c r="G2699" s="3" t="str">
        <f>CLEAN("CONSTRUCTION/BRRPL")</f>
        <v>CONSTRUCTION/BRRPL</v>
      </c>
      <c r="H2699" s="2" t="str">
        <f t="shared" si="417"/>
        <v>LOC STR</v>
      </c>
      <c r="I2699" s="2" t="str">
        <f t="shared" si="418"/>
        <v>205</v>
      </c>
    </row>
    <row r="2700" spans="1:9" x14ac:dyDescent="0.35">
      <c r="A2700" s="2" t="str">
        <f>CLEAN("SAUK")</f>
        <v>SAUK</v>
      </c>
      <c r="B2700" s="2" t="str">
        <f>CLEAN("TOWN OF ITHACA")</f>
        <v>TOWN OF ITHACA</v>
      </c>
      <c r="C2700" s="2" t="s">
        <v>345</v>
      </c>
      <c r="D2700" s="2" t="str">
        <f>CLEAN("5760-00-72")</f>
        <v>5760-00-72</v>
      </c>
      <c r="E2700" s="3" t="str">
        <f>CLEAN("LONE ROCK - STH 154")</f>
        <v>LONE ROCK - STH 154</v>
      </c>
      <c r="F2700" s="3" t="str">
        <f>CLEAN("WEST JUNCTION CTH B TO STH 154")</f>
        <v>WEST JUNCTION CTH B TO STH 154</v>
      </c>
      <c r="G2700" s="3" t="str">
        <f>CLEAN("CONST/ MILL AND OVERLAY")</f>
        <v>CONST/ MILL AND OVERLAY</v>
      </c>
      <c r="H2700" s="2" t="str">
        <f>CLEAN("STH 130")</f>
        <v>STH 130</v>
      </c>
      <c r="I2700" s="2" t="str">
        <f>CLEAN("303")</f>
        <v>303</v>
      </c>
    </row>
    <row r="2701" spans="1:9" x14ac:dyDescent="0.35">
      <c r="A2701" s="2" t="str">
        <f>CLEAN("WASHINGTON")</f>
        <v>WASHINGTON</v>
      </c>
      <c r="B2701" s="2" t="str">
        <f>CLEAN("TOWN OF JACKSON")</f>
        <v>TOWN OF JACKSON</v>
      </c>
      <c r="C2701" s="2" t="s">
        <v>2655</v>
      </c>
      <c r="D2701" s="2" t="str">
        <f>CLEAN("2736-00-00")</f>
        <v>2736-00-00</v>
      </c>
      <c r="E2701" s="3" t="str">
        <f>CLEAN("CEDAR CREEK ROAD")</f>
        <v>CEDAR CREEK ROAD</v>
      </c>
      <c r="F2701" s="3" t="str">
        <f>CLEAN("BRIDGE OVER BRANCH OF CEDAR CREEK")</f>
        <v>BRIDGE OVER BRANCH OF CEDAR CREEK</v>
      </c>
      <c r="G2701" s="3" t="str">
        <f>CLEAN("PE/BRIDGE REPLACEMENT P-66-0904")</f>
        <v>PE/BRIDGE REPLACEMENT P-66-0904</v>
      </c>
      <c r="H2701" s="2" t="str">
        <f>CLEAN("LOC STR")</f>
        <v>LOC STR</v>
      </c>
      <c r="I2701" s="2" t="str">
        <f>CLEAN("205")</f>
        <v>205</v>
      </c>
    </row>
    <row r="2702" spans="1:9" x14ac:dyDescent="0.35">
      <c r="A2702" s="2" t="str">
        <f>CLEAN("WASHINGTON")</f>
        <v>WASHINGTON</v>
      </c>
      <c r="B2702" s="2" t="str">
        <f>CLEAN("TOWN OF JACKSON")</f>
        <v>TOWN OF JACKSON</v>
      </c>
      <c r="C2702" s="2" t="s">
        <v>480</v>
      </c>
      <c r="D2702" s="2" t="str">
        <f>CLEAN("2736-00-70")</f>
        <v>2736-00-70</v>
      </c>
      <c r="E2702" s="3" t="str">
        <f>CLEAN("CEDAR CREEK ROAD")</f>
        <v>CEDAR CREEK ROAD</v>
      </c>
      <c r="F2702" s="3" t="str">
        <f>CLEAN("BRIDGE OVER BRANCH OF CEDAR CREEK")</f>
        <v>BRIDGE OVER BRANCH OF CEDAR CREEK</v>
      </c>
      <c r="G2702" s="3" t="str">
        <f>CLEAN("CONST/BRIDGE REPLACEMENT P-66-0904")</f>
        <v>CONST/BRIDGE REPLACEMENT P-66-0904</v>
      </c>
      <c r="H2702" s="2" t="str">
        <f>CLEAN("LOC STR")</f>
        <v>LOC STR</v>
      </c>
      <c r="I2702" s="2" t="str">
        <f>CLEAN("205")</f>
        <v>205</v>
      </c>
    </row>
    <row r="2703" spans="1:9" x14ac:dyDescent="0.35">
      <c r="A2703" s="2" t="str">
        <f>CLEAN("ASHLAND")</f>
        <v>ASHLAND</v>
      </c>
      <c r="B2703" s="2" t="str">
        <f>CLEAN("TOWN OF JACOBS")</f>
        <v>TOWN OF JACOBS</v>
      </c>
      <c r="C2703" s="2" t="s">
        <v>1640</v>
      </c>
      <c r="D2703" s="2" t="str">
        <f>CLEAN("1610-01-08")</f>
        <v>1610-01-08</v>
      </c>
      <c r="E2703" s="3" t="str">
        <f>CLEAN("PARK FALLS - MELLEN")</f>
        <v>PARK FALLS - MELLEN</v>
      </c>
      <c r="F2703" s="3" t="str">
        <f>CLEAN("WEEPING WILLOW LN TO E MACK ST")</f>
        <v>WEEPING WILLOW LN TO E MACK ST</v>
      </c>
      <c r="G2703" s="3" t="str">
        <f>CLEAN("DESIGN - FULL PS&amp;E/PVRPLA")</f>
        <v>DESIGN - FULL PS&amp;E/PVRPLA</v>
      </c>
      <c r="H2703" s="2" t="str">
        <f>CLEAN("STH 013")</f>
        <v>STH 013</v>
      </c>
      <c r="I2703" s="2" t="str">
        <f>CLEAN("303")</f>
        <v>303</v>
      </c>
    </row>
    <row r="2704" spans="1:9" x14ac:dyDescent="0.35">
      <c r="A2704" s="2" t="str">
        <f>CLEAN("ASHLAND")</f>
        <v>ASHLAND</v>
      </c>
      <c r="B2704" s="2" t="str">
        <f>CLEAN("TOWN OF JACOBS")</f>
        <v>TOWN OF JACOBS</v>
      </c>
      <c r="C2704" s="2" t="s">
        <v>3172</v>
      </c>
      <c r="D2704" s="2" t="str">
        <f>CLEAN("1610-01-28")</f>
        <v>1610-01-28</v>
      </c>
      <c r="E2704" s="3" t="str">
        <f>CLEAN("PARK FALLS - MELLEN")</f>
        <v>PARK FALLS - MELLEN</v>
      </c>
      <c r="F2704" s="3" t="str">
        <f>CLEAN("WEEPING WILLOW LN TO E MACK ST")</f>
        <v>WEEPING WILLOW LN TO E MACK ST</v>
      </c>
      <c r="G2704" s="3" t="str">
        <f>CLEAN("REAL ESTATE ACQUISITION/8630-05-78")</f>
        <v>REAL ESTATE ACQUISITION/8630-05-78</v>
      </c>
      <c r="H2704" s="2" t="str">
        <f>CLEAN("STH 013")</f>
        <v>STH 013</v>
      </c>
      <c r="I2704" s="2" t="str">
        <f>CLEAN("303")</f>
        <v>303</v>
      </c>
    </row>
    <row r="2705" spans="1:9" x14ac:dyDescent="0.35">
      <c r="A2705" s="2" t="str">
        <f>CLEAN("ASHLAND")</f>
        <v>ASHLAND</v>
      </c>
      <c r="B2705" s="2" t="str">
        <f>CLEAN("TOWN OF JACOBS")</f>
        <v>TOWN OF JACOBS</v>
      </c>
      <c r="C2705" s="2" t="s">
        <v>1311</v>
      </c>
      <c r="D2705" s="2" t="str">
        <f>CLEAN("1610-01-78")</f>
        <v>1610-01-78</v>
      </c>
      <c r="E2705" s="3" t="str">
        <f>CLEAN("PARK FALLS - MELLEN")</f>
        <v>PARK FALLS - MELLEN</v>
      </c>
      <c r="F2705" s="3" t="str">
        <f>CLEAN("WEEPING WILLOW LN TO E MACK ST")</f>
        <v>WEEPING WILLOW LN TO E MACK ST</v>
      </c>
      <c r="G2705" s="3" t="str">
        <f>CLEAN("CONSTRUCTION/PVRPLA")</f>
        <v>CONSTRUCTION/PVRPLA</v>
      </c>
      <c r="H2705" s="2" t="str">
        <f>CLEAN("STH 013")</f>
        <v>STH 013</v>
      </c>
      <c r="I2705" s="2" t="str">
        <f>CLEAN("303")</f>
        <v>303</v>
      </c>
    </row>
    <row r="2706" spans="1:9" x14ac:dyDescent="0.35">
      <c r="A2706" s="2" t="str">
        <f>CLEAN("GRANT")</f>
        <v>GRANT</v>
      </c>
      <c r="B2706" s="2" t="str">
        <f>CLEAN("TOWN OF JAMESTOWN")</f>
        <v>TOWN OF JAMESTOWN</v>
      </c>
      <c r="C2706" s="2" t="s">
        <v>1786</v>
      </c>
      <c r="D2706" s="2" t="str">
        <f>CLEAN("5721-00-05")</f>
        <v>5721-00-05</v>
      </c>
      <c r="E2706" s="3" t="str">
        <f>CLEAN("TOWN OF JAMESTOWN  JIMTOWN RD")</f>
        <v>TOWN OF JAMESTOWN  JIMTOWN RD</v>
      </c>
      <c r="F2706" s="3" t="str">
        <f>CLEAN("KIELER CREEK BRIDGE  P-22-0365")</f>
        <v>KIELER CREEK BRIDGE  P-22-0365</v>
      </c>
      <c r="G2706" s="3" t="str">
        <f>CLEAN("DESIGN/BRIDGE REPLACEMENT")</f>
        <v>DESIGN/BRIDGE REPLACEMENT</v>
      </c>
      <c r="H2706" s="2" t="str">
        <f t="shared" ref="H2706:H2711" si="419">CLEAN("LOC STR")</f>
        <v>LOC STR</v>
      </c>
      <c r="I2706" s="2" t="str">
        <f t="shared" ref="I2706:I2711" si="420">CLEAN("205")</f>
        <v>205</v>
      </c>
    </row>
    <row r="2707" spans="1:9" x14ac:dyDescent="0.35">
      <c r="A2707" s="2" t="str">
        <f>CLEAN("GRANT")</f>
        <v>GRANT</v>
      </c>
      <c r="B2707" s="2" t="str">
        <f>CLEAN("TOWN OF JAMESTOWN")</f>
        <v>TOWN OF JAMESTOWN</v>
      </c>
      <c r="C2707" s="2" t="s">
        <v>2106</v>
      </c>
      <c r="D2707" s="2" t="str">
        <f>CLEAN("5721-00-06")</f>
        <v>5721-00-06</v>
      </c>
      <c r="E2707" s="3" t="str">
        <f>CLEAN("T OF JAMESTOWN  WOODLAND LANE")</f>
        <v>T OF JAMESTOWN  WOODLAND LANE</v>
      </c>
      <c r="F2707" s="3" t="str">
        <f>CLEAN("MENOMONIE RIVER BRIDGE P-22-0956")</f>
        <v>MENOMONIE RIVER BRIDGE P-22-0956</v>
      </c>
      <c r="G2707" s="3" t="str">
        <f>CLEAN("DESIGN/PLAN CHECK REVIEW/BRRPL")</f>
        <v>DESIGN/PLAN CHECK REVIEW/BRRPL</v>
      </c>
      <c r="H2707" s="2" t="str">
        <f t="shared" si="419"/>
        <v>LOC STR</v>
      </c>
      <c r="I2707" s="2" t="str">
        <f t="shared" si="420"/>
        <v>205</v>
      </c>
    </row>
    <row r="2708" spans="1:9" x14ac:dyDescent="0.35">
      <c r="A2708" s="2" t="str">
        <f>CLEAN("GRANT")</f>
        <v>GRANT</v>
      </c>
      <c r="B2708" s="2" t="str">
        <f>CLEAN("TOWN OF JAMESTOWN")</f>
        <v>TOWN OF JAMESTOWN</v>
      </c>
      <c r="C2708" s="2" t="s">
        <v>1451</v>
      </c>
      <c r="D2708" s="2" t="str">
        <f>CLEAN("5721-00-07")</f>
        <v>5721-00-07</v>
      </c>
      <c r="E2708" s="3" t="str">
        <f>CLEAN("T JAMESTOWN  FAIRPLAY ROAD")</f>
        <v>T JAMESTOWN  FAIRPLAY ROAD</v>
      </c>
      <c r="F2708" s="3" t="str">
        <f>CLEAN("FAIRPLAY CREEK BRIDGE P-22-0953")</f>
        <v>FAIRPLAY CREEK BRIDGE P-22-0953</v>
      </c>
      <c r="G2708" s="3" t="str">
        <f>CLEAN("DESIGN - FULL PS&amp;E BRRPL")</f>
        <v>DESIGN - FULL PS&amp;E BRRPL</v>
      </c>
      <c r="H2708" s="2" t="str">
        <f t="shared" si="419"/>
        <v>LOC STR</v>
      </c>
      <c r="I2708" s="2" t="str">
        <f t="shared" si="420"/>
        <v>205</v>
      </c>
    </row>
    <row r="2709" spans="1:9" x14ac:dyDescent="0.35">
      <c r="A2709" s="2" t="str">
        <f>CLEAN("GRANT")</f>
        <v>GRANT</v>
      </c>
      <c r="B2709" s="2" t="str">
        <f>CLEAN("TOWN OF JAMESTOWN")</f>
        <v>TOWN OF JAMESTOWN</v>
      </c>
      <c r="C2709" s="2" t="s">
        <v>100</v>
      </c>
      <c r="D2709" s="2" t="str">
        <f>CLEAN("5721-00-75")</f>
        <v>5721-00-75</v>
      </c>
      <c r="E2709" s="3" t="str">
        <f>CLEAN("TOWN OF JAMESTOWN  JIMTOWN RD")</f>
        <v>TOWN OF JAMESTOWN  JIMTOWN RD</v>
      </c>
      <c r="F2709" s="3" t="str">
        <f>CLEAN("KIELER CREEK BRIDGE  B-22-0293")</f>
        <v>KIELER CREEK BRIDGE  B-22-0293</v>
      </c>
      <c r="G2709" s="3" t="str">
        <f>CLEAN("CONST OPS/BRIDGE REPLACEMENT")</f>
        <v>CONST OPS/BRIDGE REPLACEMENT</v>
      </c>
      <c r="H2709" s="2" t="str">
        <f t="shared" si="419"/>
        <v>LOC STR</v>
      </c>
      <c r="I2709" s="2" t="str">
        <f t="shared" si="420"/>
        <v>205</v>
      </c>
    </row>
    <row r="2710" spans="1:9" x14ac:dyDescent="0.35">
      <c r="A2710" s="2" t="str">
        <f>CLEAN("JEFFERSON")</f>
        <v>JEFFERSON</v>
      </c>
      <c r="B2710" s="2" t="str">
        <f>CLEAN("TOWN OF JEFFERSON")</f>
        <v>TOWN OF JEFFERSON</v>
      </c>
      <c r="C2710" s="2" t="s">
        <v>1768</v>
      </c>
      <c r="D2710" s="2" t="str">
        <f>CLEAN("3636-00-02")</f>
        <v>3636-00-02</v>
      </c>
      <c r="E2710" s="3" t="str">
        <f>CLEAN("TOWN OF JEFFERSON  WILL RD")</f>
        <v>TOWN OF JEFFERSON  WILL RD</v>
      </c>
      <c r="F2710" s="3" t="str">
        <f>CLEAN("DEER CREEK BRIDGE  B-28-0092")</f>
        <v>DEER CREEK BRIDGE  B-28-0092</v>
      </c>
      <c r="G2710" s="3" t="str">
        <f>CLEAN("DESIGN/BRIDGE REPLACEMENT")</f>
        <v>DESIGN/BRIDGE REPLACEMENT</v>
      </c>
      <c r="H2710" s="2" t="str">
        <f t="shared" si="419"/>
        <v>LOC STR</v>
      </c>
      <c r="I2710" s="2" t="str">
        <f t="shared" si="420"/>
        <v>205</v>
      </c>
    </row>
    <row r="2711" spans="1:9" x14ac:dyDescent="0.35">
      <c r="A2711" s="2" t="str">
        <f>CLEAN("JEFFERSON")</f>
        <v>JEFFERSON</v>
      </c>
      <c r="B2711" s="2" t="str">
        <f>CLEAN("TOWN OF JEFFERSON")</f>
        <v>TOWN OF JEFFERSON</v>
      </c>
      <c r="C2711" s="2" t="s">
        <v>85</v>
      </c>
      <c r="D2711" s="2" t="str">
        <f>CLEAN("3636-00-72")</f>
        <v>3636-00-72</v>
      </c>
      <c r="E2711" s="3" t="str">
        <f>CLEAN("TOWN OF JEFFERSON  WILL RD")</f>
        <v>TOWN OF JEFFERSON  WILL RD</v>
      </c>
      <c r="F2711" s="3" t="str">
        <f>CLEAN("DEER CREEK BRIDGE  B-28-0194")</f>
        <v>DEER CREEK BRIDGE  B-28-0194</v>
      </c>
      <c r="G2711" s="3" t="str">
        <f>CLEAN("CONST OPS/BRIDGE REPLACEMENT")</f>
        <v>CONST OPS/BRIDGE REPLACEMENT</v>
      </c>
      <c r="H2711" s="2" t="str">
        <f t="shared" si="419"/>
        <v>LOC STR</v>
      </c>
      <c r="I2711" s="2" t="str">
        <f t="shared" si="420"/>
        <v>205</v>
      </c>
    </row>
    <row r="2712" spans="1:9" x14ac:dyDescent="0.35">
      <c r="A2712" s="2" t="str">
        <f>CLEAN("OUTAGAMIE")</f>
        <v>OUTAGAMIE</v>
      </c>
      <c r="B2712" s="2" t="str">
        <f>CLEAN("TOWN OF KAUKAUNA")</f>
        <v>TOWN OF KAUKAUNA</v>
      </c>
      <c r="C2712" s="2" t="s">
        <v>855</v>
      </c>
      <c r="D2712" s="2" t="str">
        <f>CLEAN("1130-67-72")</f>
        <v>1130-67-72</v>
      </c>
      <c r="E2712" s="3" t="str">
        <f>CLEAN("APPLETON - DE PERE")</f>
        <v>APPLETON - DE PERE</v>
      </c>
      <c r="F2712" s="3" t="str">
        <f>CLEAN("I-41 MAINLINE  CTH JJ - MINERS WAY")</f>
        <v>I-41 MAINLINE  CTH JJ - MINERS WAY</v>
      </c>
      <c r="G2712" s="3" t="str">
        <f>CLEAN("CONST/RECSTE MNLINE CTH JJ - MINERS")</f>
        <v>CONST/RECSTE MNLINE CTH JJ - MINERS</v>
      </c>
      <c r="H2712" s="2" t="str">
        <f>CLEAN("IH  041")</f>
        <v>IH  041</v>
      </c>
      <c r="I2712" s="2" t="str">
        <f>CLEAN("302")</f>
        <v>302</v>
      </c>
    </row>
    <row r="2713" spans="1:9" x14ac:dyDescent="0.35">
      <c r="A2713" s="2" t="str">
        <f>CLEAN("OUTAGAMIE")</f>
        <v>OUTAGAMIE</v>
      </c>
      <c r="B2713" s="2" t="str">
        <f>CLEAN("TOWN OF KAUKAUNA")</f>
        <v>TOWN OF KAUKAUNA</v>
      </c>
      <c r="C2713" s="2" t="s">
        <v>291</v>
      </c>
      <c r="D2713" s="2" t="str">
        <f>CLEAN("1130-67-76")</f>
        <v>1130-67-76</v>
      </c>
      <c r="E2713" s="3" t="str">
        <f>CLEAN("APPLETON - DE PERE")</f>
        <v>APPLETON - DE PERE</v>
      </c>
      <c r="F2713" s="3" t="str">
        <f>CLEAN("S COUNTY LINE RD/CTH U INTCHG")</f>
        <v>S COUNTY LINE RD/CTH U INTCHG</v>
      </c>
      <c r="G2713" s="3" t="str">
        <f>CLEAN("CONST OPS/RECSTE CTH U INTCHG")</f>
        <v>CONST OPS/RECSTE CTH U INTCHG</v>
      </c>
      <c r="H2713" s="2" t="str">
        <f>CLEAN("IH  041")</f>
        <v>IH  041</v>
      </c>
      <c r="I2713" s="2" t="str">
        <f>CLEAN("302")</f>
        <v>302</v>
      </c>
    </row>
    <row r="2714" spans="1:9" x14ac:dyDescent="0.35">
      <c r="A2714" s="2" t="str">
        <f>CLEAN("OUTAGAMIE")</f>
        <v>OUTAGAMIE</v>
      </c>
      <c r="B2714" s="2" t="str">
        <f>CLEAN("TOWN OF KAUKAUNA")</f>
        <v>TOWN OF KAUKAUNA</v>
      </c>
      <c r="C2714" s="2" t="s">
        <v>290</v>
      </c>
      <c r="D2714" s="2" t="str">
        <f>CLEAN("1130-67-86")</f>
        <v>1130-67-86</v>
      </c>
      <c r="E2714" s="3" t="str">
        <f>CLEAN("APPLETON - DE PERE")</f>
        <v>APPLETON - DE PERE</v>
      </c>
      <c r="F2714" s="3" t="str">
        <f>CLEAN("CTH U FRONTAGE ROADS")</f>
        <v>CTH U FRONTAGE ROADS</v>
      </c>
      <c r="G2714" s="3" t="str">
        <f>CLEAN("CONST OPS/RECSTE CTH U FRONTAGE RDS")</f>
        <v>CONST OPS/RECSTE CTH U FRONTAGE RDS</v>
      </c>
      <c r="H2714" s="2" t="str">
        <f>CLEAN("IH  041")</f>
        <v>IH  041</v>
      </c>
      <c r="I2714" s="2" t="str">
        <f>CLEAN("302")</f>
        <v>302</v>
      </c>
    </row>
    <row r="2715" spans="1:9" x14ac:dyDescent="0.35">
      <c r="A2715" s="2" t="str">
        <f>CLEAN("OUTAGAMIE")</f>
        <v>OUTAGAMIE</v>
      </c>
      <c r="B2715" s="2" t="str">
        <f>CLEAN("TOWN OF KAUKAUNA")</f>
        <v>TOWN OF KAUKAUNA</v>
      </c>
      <c r="C2715" s="2" t="s">
        <v>2460</v>
      </c>
      <c r="D2715" s="2" t="str">
        <f>CLEAN("6498-07-00")</f>
        <v>6498-07-00</v>
      </c>
      <c r="E2715" s="3" t="str">
        <f>CLEAN("T KAUKAUNA  FARRELL ROAD")</f>
        <v>T KAUKAUNA  FARRELL ROAD</v>
      </c>
      <c r="F2715" s="3" t="str">
        <f>CLEAN("BRANCH OF APPLE CREEK BRIDGE")</f>
        <v>BRANCH OF APPLE CREEK BRIDGE</v>
      </c>
      <c r="G2715" s="3" t="str">
        <f>CLEAN("DSN/FULL PSE/BRRPL P440103")</f>
        <v>DSN/FULL PSE/BRRPL P440103</v>
      </c>
      <c r="H2715" s="2" t="str">
        <f t="shared" ref="H2715:H2720" si="421">CLEAN("LOC STR")</f>
        <v>LOC STR</v>
      </c>
      <c r="I2715" s="2" t="str">
        <f t="shared" ref="I2715:I2720" si="422">CLEAN("205")</f>
        <v>205</v>
      </c>
    </row>
    <row r="2716" spans="1:9" x14ac:dyDescent="0.35">
      <c r="A2716" s="2" t="str">
        <f>CLEAN("WASHINGTON")</f>
        <v>WASHINGTON</v>
      </c>
      <c r="B2716" s="2" t="str">
        <f>CLEAN("TOWN OF KEWASKUM")</f>
        <v>TOWN OF KEWASKUM</v>
      </c>
      <c r="C2716" s="2" t="s">
        <v>2701</v>
      </c>
      <c r="D2716" s="2" t="str">
        <f>CLEAN("4824-03-02")</f>
        <v>4824-03-02</v>
      </c>
      <c r="E2716" s="3" t="str">
        <f>CLEAN("T KEWASKUM  TOWNLINE RD")</f>
        <v>T KEWASKUM  TOWNLINE RD</v>
      </c>
      <c r="F2716" s="3" t="str">
        <f>CLEAN("TRIBUTARY MILWAUKEE RIVER P66-0911")</f>
        <v>TRIBUTARY MILWAUKEE RIVER P66-0911</v>
      </c>
      <c r="G2716" s="3" t="str">
        <f>CLEAN("PE/FULL PS&amp;E ROW/BRRPL")</f>
        <v>PE/FULL PS&amp;E ROW/BRRPL</v>
      </c>
      <c r="H2716" s="2" t="str">
        <f t="shared" si="421"/>
        <v>LOC STR</v>
      </c>
      <c r="I2716" s="2" t="str">
        <f t="shared" si="422"/>
        <v>205</v>
      </c>
    </row>
    <row r="2717" spans="1:9" x14ac:dyDescent="0.35">
      <c r="A2717" s="2" t="str">
        <f>CLEAN("WASHINGTON")</f>
        <v>WASHINGTON</v>
      </c>
      <c r="B2717" s="2" t="str">
        <f>CLEAN("TOWN OF KEWASKUM")</f>
        <v>TOWN OF KEWASKUM</v>
      </c>
      <c r="C2717" s="2" t="s">
        <v>423</v>
      </c>
      <c r="D2717" s="2" t="str">
        <f>CLEAN("4824-03-71")</f>
        <v>4824-03-71</v>
      </c>
      <c r="E2717" s="3" t="str">
        <f>CLEAN("BADGER ROAD")</f>
        <v>BADGER ROAD</v>
      </c>
      <c r="F2717" s="3" t="str">
        <f>CLEAN("BRIDGE OVER KEWASKUM CREEK P-66-913")</f>
        <v>BRIDGE OVER KEWASKUM CREEK P-66-913</v>
      </c>
      <c r="G2717" s="3" t="str">
        <f>CLEAN("CONST/BRIDGE REPLACEMENT")</f>
        <v>CONST/BRIDGE REPLACEMENT</v>
      </c>
      <c r="H2717" s="2" t="str">
        <f t="shared" si="421"/>
        <v>LOC STR</v>
      </c>
      <c r="I2717" s="2" t="str">
        <f t="shared" si="422"/>
        <v>205</v>
      </c>
    </row>
    <row r="2718" spans="1:9" x14ac:dyDescent="0.35">
      <c r="A2718" s="2" t="str">
        <f>CLEAN("WASHINGTON")</f>
        <v>WASHINGTON</v>
      </c>
      <c r="B2718" s="2" t="str">
        <f>CLEAN("TOWN OF KEWASKUM")</f>
        <v>TOWN OF KEWASKUM</v>
      </c>
      <c r="C2718" s="2" t="s">
        <v>517</v>
      </c>
      <c r="D2718" s="2" t="str">
        <f>CLEAN("4824-03-72")</f>
        <v>4824-03-72</v>
      </c>
      <c r="E2718" s="3" t="str">
        <f>CLEAN("T KEWASKUM  TOWNLINE RD")</f>
        <v>T KEWASKUM  TOWNLINE RD</v>
      </c>
      <c r="F2718" s="3" t="str">
        <f>CLEAN("TRIBUTARY MILWAUKEE RIVER P66-0911")</f>
        <v>TRIBUTARY MILWAUKEE RIVER P66-0911</v>
      </c>
      <c r="G2718" s="3" t="str">
        <f>CLEAN("CONST/BRRPL")</f>
        <v>CONST/BRRPL</v>
      </c>
      <c r="H2718" s="2" t="str">
        <f t="shared" si="421"/>
        <v>LOC STR</v>
      </c>
      <c r="I2718" s="2" t="str">
        <f t="shared" si="422"/>
        <v>205</v>
      </c>
    </row>
    <row r="2719" spans="1:9" x14ac:dyDescent="0.35">
      <c r="A2719" s="2" t="str">
        <f>CLEAN("IRON")</f>
        <v>IRON</v>
      </c>
      <c r="B2719" s="2" t="str">
        <f>CLEAN("TOWN OF KIMBALL")</f>
        <v>TOWN OF KIMBALL</v>
      </c>
      <c r="C2719" s="2" t="s">
        <v>2009</v>
      </c>
      <c r="D2719" s="2" t="str">
        <f>CLEAN("9826-00-00")</f>
        <v>9826-00-00</v>
      </c>
      <c r="E2719" s="3" t="str">
        <f>CLEAN("T KIMBALL  TOWN PARK DRIVE")</f>
        <v>T KIMBALL  TOWN PARK DRIVE</v>
      </c>
      <c r="F2719" s="3" t="str">
        <f>CLEAN("W BR MONTREAL RIVER BRIDGE P260903")</f>
        <v>W BR MONTREAL RIVER BRIDGE P260903</v>
      </c>
      <c r="G2719" s="3" t="str">
        <f>CLEAN("DESIGN/FULL PSE/REPLACEMENT")</f>
        <v>DESIGN/FULL PSE/REPLACEMENT</v>
      </c>
      <c r="H2719" s="2" t="str">
        <f t="shared" si="421"/>
        <v>LOC STR</v>
      </c>
      <c r="I2719" s="2" t="str">
        <f t="shared" si="422"/>
        <v>205</v>
      </c>
    </row>
    <row r="2720" spans="1:9" x14ac:dyDescent="0.35">
      <c r="A2720" s="2" t="str">
        <f>CLEAN("IRON")</f>
        <v>IRON</v>
      </c>
      <c r="B2720" s="2" t="str">
        <f>CLEAN("TOWN OF KIMBALL")</f>
        <v>TOWN OF KIMBALL</v>
      </c>
      <c r="C2720" s="2" t="s">
        <v>936</v>
      </c>
      <c r="D2720" s="2" t="str">
        <f>CLEAN("9826-00-70")</f>
        <v>9826-00-70</v>
      </c>
      <c r="E2720" s="3" t="str">
        <f>CLEAN("T KIMBALL  TOWN PARK DRIVE")</f>
        <v>T KIMBALL  TOWN PARK DRIVE</v>
      </c>
      <c r="F2720" s="3" t="str">
        <f>CLEAN("W BR MONTREAL RIVER BRIDGE B260047")</f>
        <v>W BR MONTREAL RIVER BRIDGE B260047</v>
      </c>
      <c r="G2720" s="3" t="str">
        <f>CLEAN("CONST/REPLACEMENT")</f>
        <v>CONST/REPLACEMENT</v>
      </c>
      <c r="H2720" s="2" t="str">
        <f t="shared" si="421"/>
        <v>LOC STR</v>
      </c>
      <c r="I2720" s="2" t="str">
        <f t="shared" si="422"/>
        <v>205</v>
      </c>
    </row>
    <row r="2721" spans="1:9" x14ac:dyDescent="0.35">
      <c r="A2721" s="2" t="str">
        <f>CLEAN("IRON")</f>
        <v>IRON</v>
      </c>
      <c r="B2721" s="2" t="str">
        <f>CLEAN("TOWN OF KNIGHT")</f>
        <v>TOWN OF KNIGHT</v>
      </c>
      <c r="C2721" s="2" t="s">
        <v>995</v>
      </c>
      <c r="D2721" s="2" t="str">
        <f>CLEAN("9250-14-71")</f>
        <v>9250-14-71</v>
      </c>
      <c r="E2721" s="3" t="str">
        <f>CLEAN("MELLEN - HURLEY")</f>
        <v>MELLEN - HURLEY</v>
      </c>
      <c r="F2721" s="3" t="str">
        <f>CLEAN("UPSON LAKE ROAD TO ODANAH ROAD")</f>
        <v>UPSON LAKE ROAD TO ODANAH ROAD</v>
      </c>
      <c r="G2721" s="3" t="str">
        <f>CLEAN("CONST/RESURFACE")</f>
        <v>CONST/RESURFACE</v>
      </c>
      <c r="H2721" s="2" t="str">
        <f>CLEAN("STH 077")</f>
        <v>STH 077</v>
      </c>
      <c r="I2721" s="2" t="str">
        <f>CLEAN("303")</f>
        <v>303</v>
      </c>
    </row>
    <row r="2722" spans="1:9" x14ac:dyDescent="0.35">
      <c r="A2722" s="2" t="str">
        <f>CLEAN("WALWORTH")</f>
        <v>WALWORTH</v>
      </c>
      <c r="B2722" s="2" t="str">
        <f>CLEAN("TOWN OF LA GRANGE")</f>
        <v>TOWN OF LA GRANGE</v>
      </c>
      <c r="C2722" s="2" t="s">
        <v>2645</v>
      </c>
      <c r="D2722" s="2" t="str">
        <f>CLEAN("3839-00-00")</f>
        <v>3839-00-00</v>
      </c>
      <c r="E2722" s="3" t="str">
        <f>CLEAN("LAUDERDALE DRIVE")</f>
        <v>LAUDERDALE DRIVE</v>
      </c>
      <c r="F2722" s="3" t="str">
        <f>CLEAN("BRIDGE OVER GREEN LAKE P-64-0921")</f>
        <v>BRIDGE OVER GREEN LAKE P-64-0921</v>
      </c>
      <c r="G2722" s="3" t="str">
        <f>CLEAN("PE/BRIDGE REPLACEMENT")</f>
        <v>PE/BRIDGE REPLACEMENT</v>
      </c>
      <c r="H2722" s="2" t="str">
        <f t="shared" ref="H2722:H2732" si="423">CLEAN("LOC STR")</f>
        <v>LOC STR</v>
      </c>
      <c r="I2722" s="2" t="str">
        <f>CLEAN("205")</f>
        <v>205</v>
      </c>
    </row>
    <row r="2723" spans="1:9" x14ac:dyDescent="0.35">
      <c r="A2723" s="2" t="str">
        <f>CLEAN("WALWORTH")</f>
        <v>WALWORTH</v>
      </c>
      <c r="B2723" s="2" t="str">
        <f>CLEAN("TOWN OF LA GRANGE")</f>
        <v>TOWN OF LA GRANGE</v>
      </c>
      <c r="C2723" s="2" t="s">
        <v>420</v>
      </c>
      <c r="D2723" s="2" t="str">
        <f>CLEAN("3839-00-70")</f>
        <v>3839-00-70</v>
      </c>
      <c r="E2723" s="3" t="str">
        <f>CLEAN("LAUDERDALE DRIVE")</f>
        <v>LAUDERDALE DRIVE</v>
      </c>
      <c r="F2723" s="3" t="str">
        <f>CLEAN("BRIDGE OVER GREEN LAKE P-64-0921")</f>
        <v>BRIDGE OVER GREEN LAKE P-64-0921</v>
      </c>
      <c r="G2723" s="3" t="str">
        <f>CLEAN("CONST/BRIDGE REPLACEMENT")</f>
        <v>CONST/BRIDGE REPLACEMENT</v>
      </c>
      <c r="H2723" s="2" t="str">
        <f t="shared" si="423"/>
        <v>LOC STR</v>
      </c>
      <c r="I2723" s="2" t="str">
        <f>CLEAN("205")</f>
        <v>205</v>
      </c>
    </row>
    <row r="2724" spans="1:9" x14ac:dyDescent="0.35">
      <c r="A2724" s="2" t="str">
        <f>CLEAN("MONROE")</f>
        <v>MONROE</v>
      </c>
      <c r="B2724" s="2" t="str">
        <f>CLEAN("TOWN OF LA GRANGE")</f>
        <v>TOWN OF LA GRANGE</v>
      </c>
      <c r="C2724" s="2" t="s">
        <v>1755</v>
      </c>
      <c r="D2724" s="2" t="str">
        <f>CLEAN("7005-00-01")</f>
        <v>7005-00-01</v>
      </c>
      <c r="E2724" s="3" t="str">
        <f>CLEAN("T LAGRANGE  ELLSWORTH ROAD")</f>
        <v>T LAGRANGE  ELLSWORTH ROAD</v>
      </c>
      <c r="F2724" s="3" t="str">
        <f>CLEAN("BR MILL CREEK BRIDGE  P-41-0156")</f>
        <v>BR MILL CREEK BRIDGE  P-41-0156</v>
      </c>
      <c r="G2724" s="3" t="str">
        <f>CLEAN("DESIGN/BRIDGE REPLACEMENT")</f>
        <v>DESIGN/BRIDGE REPLACEMENT</v>
      </c>
      <c r="H2724" s="2" t="str">
        <f t="shared" si="423"/>
        <v>LOC STR</v>
      </c>
      <c r="I2724" s="2" t="str">
        <f>CLEAN("205")</f>
        <v>205</v>
      </c>
    </row>
    <row r="2725" spans="1:9" x14ac:dyDescent="0.35">
      <c r="A2725" s="2" t="str">
        <f>CLEAN("MONROE")</f>
        <v>MONROE</v>
      </c>
      <c r="B2725" s="2" t="str">
        <f>CLEAN("TOWN OF LA GRANGE")</f>
        <v>TOWN OF LA GRANGE</v>
      </c>
      <c r="C2725" s="2" t="s">
        <v>406</v>
      </c>
      <c r="D2725" s="2" t="str">
        <f>CLEAN("7005-00-71")</f>
        <v>7005-00-71</v>
      </c>
      <c r="E2725" s="3" t="str">
        <f>CLEAN("T LAGRANGE  ELLSWORTH ROAD")</f>
        <v>T LAGRANGE  ELLSWORTH ROAD</v>
      </c>
      <c r="F2725" s="3" t="str">
        <f>CLEAN("BR MILL CREEK BRIDGE  B-41-0338")</f>
        <v>BR MILL CREEK BRIDGE  B-41-0338</v>
      </c>
      <c r="G2725" s="3" t="str">
        <f>CLEAN("CONST/BRIDGE REPLACEMENT")</f>
        <v>CONST/BRIDGE REPLACEMENT</v>
      </c>
      <c r="H2725" s="2" t="str">
        <f t="shared" si="423"/>
        <v>LOC STR</v>
      </c>
      <c r="I2725" s="2" t="str">
        <f>CLEAN("205")</f>
        <v>205</v>
      </c>
    </row>
    <row r="2726" spans="1:9" x14ac:dyDescent="0.35">
      <c r="A2726" s="2" t="str">
        <f>CLEAN("ASHLAND")</f>
        <v>ASHLAND</v>
      </c>
      <c r="B2726" s="2" t="str">
        <f>CLEAN("TOWN OF LA POINTE")</f>
        <v>TOWN OF LA POINTE</v>
      </c>
      <c r="C2726" s="2" t="s">
        <v>1625</v>
      </c>
      <c r="D2726" s="2" t="str">
        <f>CLEAN("9954-00-02")</f>
        <v>9954-00-02</v>
      </c>
      <c r="E2726" s="3" t="str">
        <f>CLEAN("T LA POINTE  HAGEN ROAD")</f>
        <v>T LA POINTE  HAGEN ROAD</v>
      </c>
      <c r="F2726" s="3" t="str">
        <f>CLEAN("BLACK SHANTY ROAD TO TERMINUS")</f>
        <v>BLACK SHANTY ROAD TO TERMINUS</v>
      </c>
      <c r="G2726" s="3" t="str">
        <f>CLEAN("DESIGN - FULL PS&amp;E/PVRPLA")</f>
        <v>DESIGN - FULL PS&amp;E/PVRPLA</v>
      </c>
      <c r="H2726" s="2" t="str">
        <f t="shared" si="423"/>
        <v>LOC STR</v>
      </c>
      <c r="I2726" s="2" t="str">
        <f>CLEAN("206")</f>
        <v>206</v>
      </c>
    </row>
    <row r="2727" spans="1:9" x14ac:dyDescent="0.35">
      <c r="A2727" s="2" t="str">
        <f>CLEAN("ASHLAND")</f>
        <v>ASHLAND</v>
      </c>
      <c r="B2727" s="2" t="str">
        <f>CLEAN("TOWN OF LA POINTE")</f>
        <v>TOWN OF LA POINTE</v>
      </c>
      <c r="C2727" s="2" t="s">
        <v>1300</v>
      </c>
      <c r="D2727" s="2" t="str">
        <f>CLEAN("9954-00-72")</f>
        <v>9954-00-72</v>
      </c>
      <c r="E2727" s="3" t="str">
        <f>CLEAN("T LA POINTE  HAGEN ROAD")</f>
        <v>T LA POINTE  HAGEN ROAD</v>
      </c>
      <c r="F2727" s="3" t="str">
        <f>CLEAN("BLACK SHANTY ROAD TO TERMINUS")</f>
        <v>BLACK SHANTY ROAD TO TERMINUS</v>
      </c>
      <c r="G2727" s="3" t="str">
        <f>CLEAN("CONSTRUCTION/PVRPLA")</f>
        <v>CONSTRUCTION/PVRPLA</v>
      </c>
      <c r="H2727" s="2" t="str">
        <f t="shared" si="423"/>
        <v>LOC STR</v>
      </c>
      <c r="I2727" s="2" t="str">
        <f>CLEAN("206")</f>
        <v>206</v>
      </c>
    </row>
    <row r="2728" spans="1:9" x14ac:dyDescent="0.35">
      <c r="A2728" s="2" t="str">
        <f>CLEAN("SAUK")</f>
        <v>SAUK</v>
      </c>
      <c r="B2728" s="2" t="str">
        <f>CLEAN("TOWN OF LA VALLE")</f>
        <v>TOWN OF LA VALLE</v>
      </c>
      <c r="C2728" s="2" t="s">
        <v>1871</v>
      </c>
      <c r="D2728" s="2" t="str">
        <f>CLEAN("5786-00-00")</f>
        <v>5786-00-00</v>
      </c>
      <c r="E2728" s="3" t="str">
        <f>CLEAN("TOWN OF LAVALLE  STOUT ROAD")</f>
        <v>TOWN OF LAVALLE  STOUT ROAD</v>
      </c>
      <c r="F2728" s="3" t="str">
        <f>CLEAN("CROSSMAN CREEK BRIDGE P-56-0114")</f>
        <v>CROSSMAN CREEK BRIDGE P-56-0114</v>
      </c>
      <c r="G2728" s="3" t="str">
        <f>CLEAN("DESIGN/FULL PS&amp;E BRRPL")</f>
        <v>DESIGN/FULL PS&amp;E BRRPL</v>
      </c>
      <c r="H2728" s="2" t="str">
        <f t="shared" si="423"/>
        <v>LOC STR</v>
      </c>
      <c r="I2728" s="2" t="str">
        <f>CLEAN("205")</f>
        <v>205</v>
      </c>
    </row>
    <row r="2729" spans="1:9" x14ac:dyDescent="0.35">
      <c r="A2729" s="2" t="str">
        <f>CLEAN("SAUK")</f>
        <v>SAUK</v>
      </c>
      <c r="B2729" s="2" t="str">
        <f>CLEAN("TOWN OF LA VALLE")</f>
        <v>TOWN OF LA VALLE</v>
      </c>
      <c r="C2729" s="2" t="s">
        <v>1790</v>
      </c>
      <c r="D2729" s="2" t="str">
        <f>CLEAN("5786-00-04")</f>
        <v>5786-00-04</v>
      </c>
      <c r="E2729" s="3" t="str">
        <f>CLEAN("T LAVALLE  SMITH ROAD")</f>
        <v>T LAVALLE  SMITH ROAD</v>
      </c>
      <c r="F2729" s="3" t="str">
        <f>CLEAN("LAKE REDSTONE TRIB BRIDGE P-56-0115")</f>
        <v>LAKE REDSTONE TRIB BRIDGE P-56-0115</v>
      </c>
      <c r="G2729" s="3" t="str">
        <f>CLEAN("DESIGN/BRIDGE REPLACEMENT")</f>
        <v>DESIGN/BRIDGE REPLACEMENT</v>
      </c>
      <c r="H2729" s="2" t="str">
        <f t="shared" si="423"/>
        <v>LOC STR</v>
      </c>
      <c r="I2729" s="2" t="str">
        <f>CLEAN("205")</f>
        <v>205</v>
      </c>
    </row>
    <row r="2730" spans="1:9" x14ac:dyDescent="0.35">
      <c r="A2730" s="2" t="str">
        <f>CLEAN("SAUK")</f>
        <v>SAUK</v>
      </c>
      <c r="B2730" s="2" t="str">
        <f>CLEAN("TOWN OF LA VALLE")</f>
        <v>TOWN OF LA VALLE</v>
      </c>
      <c r="C2730" s="2" t="s">
        <v>84</v>
      </c>
      <c r="D2730" s="2" t="str">
        <f>CLEAN("5786-00-70")</f>
        <v>5786-00-70</v>
      </c>
      <c r="E2730" s="3" t="str">
        <f>CLEAN("TOWN OF LAVALLE  STOUT ROAD")</f>
        <v>TOWN OF LAVALLE  STOUT ROAD</v>
      </c>
      <c r="F2730" s="3" t="str">
        <f>CLEAN("CROSSMAN CREEK BRIDGE B-56-0248")</f>
        <v>CROSSMAN CREEK BRIDGE B-56-0248</v>
      </c>
      <c r="G2730" s="3" t="str">
        <f>CLEAN("CONST OPS/BRIDGE REPLACEMENT")</f>
        <v>CONST OPS/BRIDGE REPLACEMENT</v>
      </c>
      <c r="H2730" s="2" t="str">
        <f t="shared" si="423"/>
        <v>LOC STR</v>
      </c>
      <c r="I2730" s="2" t="str">
        <f>CLEAN("205")</f>
        <v>205</v>
      </c>
    </row>
    <row r="2731" spans="1:9" x14ac:dyDescent="0.35">
      <c r="A2731" s="2" t="str">
        <f>CLEAN("SAUK")</f>
        <v>SAUK</v>
      </c>
      <c r="B2731" s="2" t="str">
        <f>CLEAN("TOWN OF LA VALLE")</f>
        <v>TOWN OF LA VALLE</v>
      </c>
      <c r="C2731" s="2" t="s">
        <v>448</v>
      </c>
      <c r="D2731" s="2" t="str">
        <f>CLEAN("5786-00-74")</f>
        <v>5786-00-74</v>
      </c>
      <c r="E2731" s="3" t="str">
        <f>CLEAN("T LAVALLE  SMITH ROAD")</f>
        <v>T LAVALLE  SMITH ROAD</v>
      </c>
      <c r="F2731" s="3" t="str">
        <f>CLEAN("LAKE REDSTONE TRIB BRIDGE B-56-0254")</f>
        <v>LAKE REDSTONE TRIB BRIDGE B-56-0254</v>
      </c>
      <c r="G2731" s="3" t="str">
        <f>CLEAN("CONST/BRIDGE REPLACEMENT")</f>
        <v>CONST/BRIDGE REPLACEMENT</v>
      </c>
      <c r="H2731" s="2" t="str">
        <f t="shared" si="423"/>
        <v>LOC STR</v>
      </c>
      <c r="I2731" s="2" t="str">
        <f>CLEAN("205")</f>
        <v>205</v>
      </c>
    </row>
    <row r="2732" spans="1:9" x14ac:dyDescent="0.35">
      <c r="A2732" s="2" t="str">
        <f>CLEAN("CHIPPEWA")</f>
        <v>CHIPPEWA</v>
      </c>
      <c r="B2732" s="2" t="str">
        <f>CLEAN("TOWN OF LAFAYETTE")</f>
        <v>TOWN OF LAFAYETTE</v>
      </c>
      <c r="C2732" s="2" t="s">
        <v>2312</v>
      </c>
      <c r="D2732" s="2" t="str">
        <f>CLEAN("8996-01-10")</f>
        <v>8996-01-10</v>
      </c>
      <c r="E2732" s="3" t="str">
        <f>CLEAN("T LAFAYETTE  50TH AVENUE")</f>
        <v>T LAFAYETTE  50TH AVENUE</v>
      </c>
      <c r="F2732" s="3" t="str">
        <f>CLEAN("CTH J TO 195TH STREET")</f>
        <v>CTH J TO 195TH STREET</v>
      </c>
      <c r="G2732" s="3" t="str">
        <f>CLEAN("DESIGN-FULL PS&amp;E RESURFACE")</f>
        <v>DESIGN-FULL PS&amp;E RESURFACE</v>
      </c>
      <c r="H2732" s="2" t="str">
        <f t="shared" si="423"/>
        <v>LOC STR</v>
      </c>
      <c r="I2732" s="2" t="str">
        <f>CLEAN("206")</f>
        <v>206</v>
      </c>
    </row>
    <row r="2733" spans="1:9" x14ac:dyDescent="0.35">
      <c r="A2733" s="2" t="str">
        <f>CLEAN("ONEIDA")</f>
        <v>ONEIDA</v>
      </c>
      <c r="B2733" s="2" t="str">
        <f>CLEAN("TOWN OF LAKE TOMAHAWK")</f>
        <v>TOWN OF LAKE TOMAHAWK</v>
      </c>
      <c r="C2733" s="2" t="s">
        <v>947</v>
      </c>
      <c r="D2733" s="2" t="str">
        <f>CLEAN("9050-03-71")</f>
        <v>9050-03-71</v>
      </c>
      <c r="E2733" s="3" t="str">
        <f>CLEAN("RHINELANDER - WOODRUFF")</f>
        <v>RHINELANDER - WOODRUFF</v>
      </c>
      <c r="F2733" s="3" t="str">
        <f>CLEAN("KILDEER ROAD TO VILAS COUNTY LINE")</f>
        <v>KILDEER ROAD TO VILAS COUNTY LINE</v>
      </c>
      <c r="G2733" s="3" t="str">
        <f>CLEAN("CONST/RESURF10 FAST TRACK")</f>
        <v>CONST/RESURF10 FAST TRACK</v>
      </c>
      <c r="H2733" s="2" t="str">
        <f>CLEAN("STH 047")</f>
        <v>STH 047</v>
      </c>
      <c r="I2733" s="2" t="str">
        <f>CLEAN("303")</f>
        <v>303</v>
      </c>
    </row>
    <row r="2734" spans="1:9" x14ac:dyDescent="0.35">
      <c r="A2734" s="2" t="str">
        <f>CLEAN("BARRON")</f>
        <v>BARRON</v>
      </c>
      <c r="B2734" s="2" t="str">
        <f>CLEAN("TOWN OF LAKELAND")</f>
        <v>TOWN OF LAKELAND</v>
      </c>
      <c r="C2734" s="2" t="s">
        <v>1342</v>
      </c>
      <c r="D2734" s="2" t="str">
        <f>CLEAN("1550-04-77")</f>
        <v>1550-04-77</v>
      </c>
      <c r="E2734" s="3" t="str">
        <f>CLEAN("CUMBERLAND - SPOONER")</f>
        <v>CUMBERLAND - SPOONER</v>
      </c>
      <c r="F2734" s="3" t="str">
        <f>CLEAN("CHARRIE LN TO BARRON/WASHBURN CO LN")</f>
        <v>CHARRIE LN TO BARRON/WASHBURN CO LN</v>
      </c>
      <c r="G2734" s="3" t="str">
        <f>CLEAN("CONSTRUCTION/RESURFACE")</f>
        <v>CONSTRUCTION/RESURFACE</v>
      </c>
      <c r="H2734" s="2" t="str">
        <f>CLEAN("USH 063")</f>
        <v>USH 063</v>
      </c>
      <c r="I2734" s="2" t="str">
        <f>CLEAN("303")</f>
        <v>303</v>
      </c>
    </row>
    <row r="2735" spans="1:9" x14ac:dyDescent="0.35">
      <c r="A2735" s="2" t="str">
        <f>CLEAN("FOND DU LAC")</f>
        <v>FOND DU LAC</v>
      </c>
      <c r="B2735" s="2" t="str">
        <f>CLEAN("TOWN OF LAMARTINE")</f>
        <v>TOWN OF LAMARTINE</v>
      </c>
      <c r="C2735" s="2" t="s">
        <v>2360</v>
      </c>
      <c r="D2735" s="2" t="str">
        <f>CLEAN("3822-02-00")</f>
        <v>3822-02-00</v>
      </c>
      <c r="E2735" s="3" t="str">
        <f>CLEAN("T LAMARTINE  TOWNLINE ROAD")</f>
        <v>T LAMARTINE  TOWNLINE ROAD</v>
      </c>
      <c r="F2735" s="3" t="str">
        <f>CLEAN("W BRANCH FOND DU LAC RIVER BRIDGE")</f>
        <v>W BRANCH FOND DU LAC RIVER BRIDGE</v>
      </c>
      <c r="G2735" s="3" t="str">
        <f>CLEAN("DSGN/FULL PSE/BRRPL")</f>
        <v>DSGN/FULL PSE/BRRPL</v>
      </c>
      <c r="H2735" s="2" t="str">
        <f t="shared" ref="H2735:H2772" si="424">CLEAN("LOC STR")</f>
        <v>LOC STR</v>
      </c>
      <c r="I2735" s="2" t="str">
        <f>CLEAN("205")</f>
        <v>205</v>
      </c>
    </row>
    <row r="2736" spans="1:9" x14ac:dyDescent="0.35">
      <c r="A2736" s="2" t="str">
        <f>CLEAN("FOND DU LAC")</f>
        <v>FOND DU LAC</v>
      </c>
      <c r="B2736" s="2" t="str">
        <f>CLEAN("TOWN OF LAMARTINE")</f>
        <v>TOWN OF LAMARTINE</v>
      </c>
      <c r="C2736" s="2" t="s">
        <v>163</v>
      </c>
      <c r="D2736" s="2" t="str">
        <f>CLEAN("3822-02-71")</f>
        <v>3822-02-71</v>
      </c>
      <c r="E2736" s="3" t="str">
        <f>CLEAN("T LAMARTINE  TOWNLINE ROAD")</f>
        <v>T LAMARTINE  TOWNLINE ROAD</v>
      </c>
      <c r="F2736" s="3" t="str">
        <f>CLEAN("W BRANCH FOND DU LAC RIVER BRIDGE")</f>
        <v>W BRANCH FOND DU LAC RIVER BRIDGE</v>
      </c>
      <c r="G2736" s="3" t="str">
        <f>CLEAN("CONST OPS/BRRPL/B20-0253")</f>
        <v>CONST OPS/BRRPL/B20-0253</v>
      </c>
      <c r="H2736" s="2" t="str">
        <f t="shared" si="424"/>
        <v>LOC STR</v>
      </c>
      <c r="I2736" s="2" t="str">
        <f>CLEAN("205")</f>
        <v>205</v>
      </c>
    </row>
    <row r="2737" spans="1:9" x14ac:dyDescent="0.35">
      <c r="A2737" s="2" t="str">
        <f>CLEAN("WAUPACA")</f>
        <v>WAUPACA</v>
      </c>
      <c r="B2737" s="2" t="str">
        <f>CLEAN("TOWN OF LARRABEE")</f>
        <v>TOWN OF LARRABEE</v>
      </c>
      <c r="C2737" s="2" t="s">
        <v>1999</v>
      </c>
      <c r="D2737" s="2" t="str">
        <f>CLEAN("6887-01-01")</f>
        <v>6887-01-01</v>
      </c>
      <c r="E2737" s="3" t="str">
        <f>CLEAN("T LARRABEE  BUCKBEE ROAD")</f>
        <v>T LARRABEE  BUCKBEE ROAD</v>
      </c>
      <c r="F2737" s="3" t="str">
        <f>CLEAN("S BR PIGEON RIVER BRIDGE P-68-0056")</f>
        <v>S BR PIGEON RIVER BRIDGE P-68-0056</v>
      </c>
      <c r="G2737" s="3" t="str">
        <f>CLEAN("DESIGN/FULL PSE/REPLACEMENT")</f>
        <v>DESIGN/FULL PSE/REPLACEMENT</v>
      </c>
      <c r="H2737" s="2" t="str">
        <f t="shared" si="424"/>
        <v>LOC STR</v>
      </c>
      <c r="I2737" s="2" t="str">
        <f>CLEAN("205")</f>
        <v>205</v>
      </c>
    </row>
    <row r="2738" spans="1:9" x14ac:dyDescent="0.35">
      <c r="A2738" s="2" t="str">
        <f>CLEAN("WAUPACA")</f>
        <v>WAUPACA</v>
      </c>
      <c r="B2738" s="2" t="str">
        <f>CLEAN("TOWN OF LARRABEE")</f>
        <v>TOWN OF LARRABEE</v>
      </c>
      <c r="C2738" s="2" t="s">
        <v>927</v>
      </c>
      <c r="D2738" s="2" t="str">
        <f>CLEAN("6887-01-71")</f>
        <v>6887-01-71</v>
      </c>
      <c r="E2738" s="3" t="str">
        <f>CLEAN("T LARRABEE  BUCKBEE ROAD")</f>
        <v>T LARRABEE  BUCKBEE ROAD</v>
      </c>
      <c r="F2738" s="3" t="str">
        <f>CLEAN("S BR PIGEON RIVER BRIDGE B-68-0151")</f>
        <v>S BR PIGEON RIVER BRIDGE B-68-0151</v>
      </c>
      <c r="G2738" s="3" t="str">
        <f>CLEAN("CONST/REPLACEMENT")</f>
        <v>CONST/REPLACEMENT</v>
      </c>
      <c r="H2738" s="2" t="str">
        <f t="shared" si="424"/>
        <v>LOC STR</v>
      </c>
      <c r="I2738" s="2" t="str">
        <f>CLEAN("205")</f>
        <v>205</v>
      </c>
    </row>
    <row r="2739" spans="1:9" x14ac:dyDescent="0.35">
      <c r="A2739" s="2" t="str">
        <f>CLEAN("BROWN")</f>
        <v>BROWN</v>
      </c>
      <c r="B2739" s="2" t="str">
        <f>CLEAN("TOWN OF LAWRENCE")</f>
        <v>TOWN OF LAWRENCE</v>
      </c>
      <c r="C2739" s="2" t="s">
        <v>864</v>
      </c>
      <c r="D2739" s="2" t="str">
        <f>CLEAN("1130-68-77")</f>
        <v>1130-68-77</v>
      </c>
      <c r="E2739" s="3" t="str">
        <f>CLEAN("APPLETON - DE PERE")</f>
        <v>APPLETON - DE PERE</v>
      </c>
      <c r="F2739" s="3" t="str">
        <f>CLEAN("SBC INTERCHANGE")</f>
        <v>SBC INTERCHANGE</v>
      </c>
      <c r="G2739" s="3" t="str">
        <f>CLEAN("CONST/RECSTE SBC INTCHG B050696")</f>
        <v>CONST/RECSTE SBC INTCHG B050696</v>
      </c>
      <c r="H2739" s="2" t="str">
        <f t="shared" si="424"/>
        <v>LOC STR</v>
      </c>
      <c r="I2739" s="2" t="str">
        <f>CLEAN("302")</f>
        <v>302</v>
      </c>
    </row>
    <row r="2740" spans="1:9" x14ac:dyDescent="0.35">
      <c r="A2740" s="2" t="str">
        <f>CLEAN("BROWN")</f>
        <v>BROWN</v>
      </c>
      <c r="B2740" s="2" t="str">
        <f>CLEAN("TOWN OF LAWRENCE")</f>
        <v>TOWN OF LAWRENCE</v>
      </c>
      <c r="C2740" s="2" t="s">
        <v>863</v>
      </c>
      <c r="D2740" s="2" t="str">
        <f>CLEAN("1130-68-81")</f>
        <v>1130-68-81</v>
      </c>
      <c r="E2740" s="3" t="str">
        <f>CLEAN("APPLETON - DE PERE")</f>
        <v>APPLETON - DE PERE</v>
      </c>
      <c r="F2740" s="3" t="str">
        <f>CLEAN("SBC EARLY FILL AND FRONTAGE ROADS")</f>
        <v>SBC EARLY FILL AND FRONTAGE ROADS</v>
      </c>
      <c r="G2740" s="3" t="str">
        <f>CLEAN("CONST/RECSTE SBC FRONTAGE ROADS")</f>
        <v>CONST/RECSTE SBC FRONTAGE ROADS</v>
      </c>
      <c r="H2740" s="2" t="str">
        <f t="shared" si="424"/>
        <v>LOC STR</v>
      </c>
      <c r="I2740" s="2" t="str">
        <f>CLEAN("302")</f>
        <v>302</v>
      </c>
    </row>
    <row r="2741" spans="1:9" x14ac:dyDescent="0.35">
      <c r="A2741" s="2" t="str">
        <f>CLEAN("POLK")</f>
        <v>POLK</v>
      </c>
      <c r="B2741" s="2" t="str">
        <f>CLEAN("TOWN OF LINCOLN")</f>
        <v>TOWN OF LINCOLN</v>
      </c>
      <c r="C2741" s="2" t="s">
        <v>1570</v>
      </c>
      <c r="D2741" s="2" t="str">
        <f>CLEAN("8412-00-02")</f>
        <v>8412-00-02</v>
      </c>
      <c r="E2741" s="3" t="str">
        <f>CLEAN("T LINCOLN  75TH STREET")</f>
        <v>T LINCOLN  75TH STREET</v>
      </c>
      <c r="F2741" s="3" t="str">
        <f>CLEAN("BEAVER BROOK BRIDGE P-48-0916")</f>
        <v>BEAVER BROOK BRIDGE P-48-0916</v>
      </c>
      <c r="G2741" s="3" t="str">
        <f>CLEAN("DESIGN - FULL PS&amp;E/BRRPL")</f>
        <v>DESIGN - FULL PS&amp;E/BRRPL</v>
      </c>
      <c r="H2741" s="2" t="str">
        <f t="shared" si="424"/>
        <v>LOC STR</v>
      </c>
      <c r="I2741" s="2" t="str">
        <f>CLEAN("205")</f>
        <v>205</v>
      </c>
    </row>
    <row r="2742" spans="1:9" x14ac:dyDescent="0.35">
      <c r="A2742" s="2" t="str">
        <f t="shared" ref="A2742:A2749" si="425">CLEAN("WALWORTH")</f>
        <v>WALWORTH</v>
      </c>
      <c r="B2742" s="2" t="str">
        <f t="shared" ref="B2742:B2749" si="426">CLEAN("TOWN OF LINN")</f>
        <v>TOWN OF LINN</v>
      </c>
      <c r="C2742" s="2" t="s">
        <v>2880</v>
      </c>
      <c r="D2742" s="2" t="str">
        <f>CLEAN("3846-02-01")</f>
        <v>3846-02-01</v>
      </c>
      <c r="E2742" s="3" t="str">
        <f>CLEAN("T LINN  ZENDA RD")</f>
        <v>T LINN  ZENDA RD</v>
      </c>
      <c r="F2742" s="3" t="str">
        <f>CLEAN("CTH B TO LINTON RD")</f>
        <v>CTH B TO LINTON RD</v>
      </c>
      <c r="G2742" s="3" t="str">
        <f>CLEAN("PE/FULL PSE/RECST")</f>
        <v>PE/FULL PSE/RECST</v>
      </c>
      <c r="H2742" s="2" t="str">
        <f t="shared" si="424"/>
        <v>LOC STR</v>
      </c>
      <c r="I2742" s="2" t="str">
        <f>CLEAN("206")</f>
        <v>206</v>
      </c>
    </row>
    <row r="2743" spans="1:9" x14ac:dyDescent="0.35">
      <c r="A2743" s="2" t="str">
        <f t="shared" si="425"/>
        <v>WALWORTH</v>
      </c>
      <c r="B2743" s="2" t="str">
        <f t="shared" si="426"/>
        <v>TOWN OF LINN</v>
      </c>
      <c r="C2743" s="2" t="s">
        <v>2796</v>
      </c>
      <c r="D2743" s="2" t="str">
        <f>CLEAN("3846-00-03")</f>
        <v>3846-00-03</v>
      </c>
      <c r="E2743" s="3" t="str">
        <f>CLEAN("T LINN - BISSELL ROAD")</f>
        <v>T LINN - BISSELL ROAD</v>
      </c>
      <c r="F2743" s="3" t="str">
        <f>CLEAN("OVER NIPPERSINK CREEK P64-902")</f>
        <v>OVER NIPPERSINK CREEK P64-902</v>
      </c>
      <c r="G2743" s="3" t="str">
        <f>CLEAN("PE/FULL PS/BRRPL")</f>
        <v>PE/FULL PS/BRRPL</v>
      </c>
      <c r="H2743" s="2" t="str">
        <f t="shared" si="424"/>
        <v>LOC STR</v>
      </c>
      <c r="I2743" s="2" t="str">
        <f t="shared" ref="I2743:I2748" si="427">CLEAN("205")</f>
        <v>205</v>
      </c>
    </row>
    <row r="2744" spans="1:9" x14ac:dyDescent="0.35">
      <c r="A2744" s="2" t="str">
        <f t="shared" si="425"/>
        <v>WALWORTH</v>
      </c>
      <c r="B2744" s="2" t="str">
        <f t="shared" si="426"/>
        <v>TOWN OF LINN</v>
      </c>
      <c r="C2744" s="2" t="s">
        <v>2791</v>
      </c>
      <c r="D2744" s="2" t="str">
        <f>CLEAN("3846-00-04")</f>
        <v>3846-00-04</v>
      </c>
      <c r="E2744" s="3" t="str">
        <f>CLEAN("T LINN - HILLSIDE ROAD")</f>
        <v>T LINN - HILLSIDE ROAD</v>
      </c>
      <c r="F2744" s="3" t="str">
        <f>CLEAN("BRIDGE OVER CMSTPP RAILROAD P64-101")</f>
        <v>BRIDGE OVER CMSTPP RAILROAD P64-101</v>
      </c>
      <c r="G2744" s="3" t="str">
        <f>CLEAN("PE/FULL PS/BRRPL")</f>
        <v>PE/FULL PS/BRRPL</v>
      </c>
      <c r="H2744" s="2" t="str">
        <f t="shared" si="424"/>
        <v>LOC STR</v>
      </c>
      <c r="I2744" s="2" t="str">
        <f t="shared" si="427"/>
        <v>205</v>
      </c>
    </row>
    <row r="2745" spans="1:9" x14ac:dyDescent="0.35">
      <c r="A2745" s="2" t="str">
        <f t="shared" si="425"/>
        <v>WALWORTH</v>
      </c>
      <c r="B2745" s="2" t="str">
        <f t="shared" si="426"/>
        <v>TOWN OF LINN</v>
      </c>
      <c r="C2745" s="2" t="s">
        <v>2795</v>
      </c>
      <c r="D2745" s="2" t="str">
        <f>CLEAN("3846-00-05")</f>
        <v>3846-00-05</v>
      </c>
      <c r="E2745" s="3" t="str">
        <f>CLEAN("T LINN - LACKEY LANE")</f>
        <v>T LINN - LACKEY LANE</v>
      </c>
      <c r="F2745" s="3" t="str">
        <f>CLEAN("OVER LAKE GENEVA TRIBUTARY P64-906")</f>
        <v>OVER LAKE GENEVA TRIBUTARY P64-906</v>
      </c>
      <c r="G2745" s="3" t="str">
        <f>CLEAN("PE/FULL PS/BRRPL")</f>
        <v>PE/FULL PS/BRRPL</v>
      </c>
      <c r="H2745" s="2" t="str">
        <f t="shared" si="424"/>
        <v>LOC STR</v>
      </c>
      <c r="I2745" s="2" t="str">
        <f t="shared" si="427"/>
        <v>205</v>
      </c>
    </row>
    <row r="2746" spans="1:9" x14ac:dyDescent="0.35">
      <c r="A2746" s="2" t="str">
        <f t="shared" si="425"/>
        <v>WALWORTH</v>
      </c>
      <c r="B2746" s="2" t="str">
        <f t="shared" si="426"/>
        <v>TOWN OF LINN</v>
      </c>
      <c r="C2746" s="2" t="s">
        <v>514</v>
      </c>
      <c r="D2746" s="2" t="str">
        <f>CLEAN("3846-00-73")</f>
        <v>3846-00-73</v>
      </c>
      <c r="E2746" s="3" t="str">
        <f>CLEAN("T LINN - BISSELL ROAD")</f>
        <v>T LINN - BISSELL ROAD</v>
      </c>
      <c r="F2746" s="3" t="str">
        <f>CLEAN("OVER NIPPERSINK CREEK P64-902")</f>
        <v>OVER NIPPERSINK CREEK P64-902</v>
      </c>
      <c r="G2746" s="3" t="str">
        <f>CLEAN("CONST/BRRPL")</f>
        <v>CONST/BRRPL</v>
      </c>
      <c r="H2746" s="2" t="str">
        <f t="shared" si="424"/>
        <v>LOC STR</v>
      </c>
      <c r="I2746" s="2" t="str">
        <f t="shared" si="427"/>
        <v>205</v>
      </c>
    </row>
    <row r="2747" spans="1:9" x14ac:dyDescent="0.35">
      <c r="A2747" s="2" t="str">
        <f t="shared" si="425"/>
        <v>WALWORTH</v>
      </c>
      <c r="B2747" s="2" t="str">
        <f t="shared" si="426"/>
        <v>TOWN OF LINN</v>
      </c>
      <c r="C2747" s="2" t="s">
        <v>498</v>
      </c>
      <c r="D2747" s="2" t="str">
        <f>CLEAN("3846-00-74")</f>
        <v>3846-00-74</v>
      </c>
      <c r="E2747" s="3" t="str">
        <f>CLEAN("T LINN - HILLSIDE ROAD")</f>
        <v>T LINN - HILLSIDE ROAD</v>
      </c>
      <c r="F2747" s="3" t="str">
        <f>CLEAN("BRIDGE OVER CMSTPP RAILROAD P64-101")</f>
        <v>BRIDGE OVER CMSTPP RAILROAD P64-101</v>
      </c>
      <c r="G2747" s="3" t="str">
        <f>CLEAN("CONST/BRRPL")</f>
        <v>CONST/BRRPL</v>
      </c>
      <c r="H2747" s="2" t="str">
        <f t="shared" si="424"/>
        <v>LOC STR</v>
      </c>
      <c r="I2747" s="2" t="str">
        <f t="shared" si="427"/>
        <v>205</v>
      </c>
    </row>
    <row r="2748" spans="1:9" x14ac:dyDescent="0.35">
      <c r="A2748" s="2" t="str">
        <f t="shared" si="425"/>
        <v>WALWORTH</v>
      </c>
      <c r="B2748" s="2" t="str">
        <f t="shared" si="426"/>
        <v>TOWN OF LINN</v>
      </c>
      <c r="C2748" s="2" t="s">
        <v>512</v>
      </c>
      <c r="D2748" s="2" t="str">
        <f>CLEAN("3846-00-75")</f>
        <v>3846-00-75</v>
      </c>
      <c r="E2748" s="3" t="str">
        <f>CLEAN("T LINN - LACKEY LANE")</f>
        <v>T LINN - LACKEY LANE</v>
      </c>
      <c r="F2748" s="3" t="str">
        <f>CLEAN("OVER LAKE GENEVA TRIBUTARY P64-906")</f>
        <v>OVER LAKE GENEVA TRIBUTARY P64-906</v>
      </c>
      <c r="G2748" s="3" t="str">
        <f>CLEAN("CONST/BRRPL")</f>
        <v>CONST/BRRPL</v>
      </c>
      <c r="H2748" s="2" t="str">
        <f t="shared" si="424"/>
        <v>LOC STR</v>
      </c>
      <c r="I2748" s="2" t="str">
        <f t="shared" si="427"/>
        <v>205</v>
      </c>
    </row>
    <row r="2749" spans="1:9" x14ac:dyDescent="0.35">
      <c r="A2749" s="2" t="str">
        <f t="shared" si="425"/>
        <v>WALWORTH</v>
      </c>
      <c r="B2749" s="2" t="str">
        <f t="shared" si="426"/>
        <v>TOWN OF LINN</v>
      </c>
      <c r="C2749" s="2" t="s">
        <v>824</v>
      </c>
      <c r="D2749" s="2" t="str">
        <f>CLEAN("3846-02-71")</f>
        <v>3846-02-71</v>
      </c>
      <c r="E2749" s="3" t="str">
        <f>CLEAN("T LINN  ZENDA RD")</f>
        <v>T LINN  ZENDA RD</v>
      </c>
      <c r="F2749" s="3" t="str">
        <f>CLEAN("CTH B TO LINTON RD")</f>
        <v>CTH B TO LINTON RD</v>
      </c>
      <c r="G2749" s="3" t="str">
        <f>CLEAN("CONST/RECST")</f>
        <v>CONST/RECST</v>
      </c>
      <c r="H2749" s="2" t="str">
        <f t="shared" si="424"/>
        <v>LOC STR</v>
      </c>
      <c r="I2749" s="2" t="str">
        <f>CLEAN("206")</f>
        <v>206</v>
      </c>
    </row>
    <row r="2750" spans="1:9" x14ac:dyDescent="0.35">
      <c r="A2750" s="2" t="str">
        <f>CLEAN("DODGE")</f>
        <v>DODGE</v>
      </c>
      <c r="B2750" s="2" t="str">
        <f>CLEAN("TOWN OF LOWELL")</f>
        <v>TOWN OF LOWELL</v>
      </c>
      <c r="C2750" s="2" t="s">
        <v>80</v>
      </c>
      <c r="D2750" s="2" t="str">
        <f>CLEAN("3804-00-04")</f>
        <v>3804-00-04</v>
      </c>
      <c r="E2750" s="3" t="str">
        <f>CLEAN("TOWN OF LOWELL  BOBOLINK RD")</f>
        <v>TOWN OF LOWELL  BOBOLINK RD</v>
      </c>
      <c r="F2750" s="3" t="str">
        <f>CLEAN("CPRS RAIL ROAD BRIDGE  P-14-0095")</f>
        <v>CPRS RAIL ROAD BRIDGE  P-14-0095</v>
      </c>
      <c r="G2750" s="3" t="str">
        <f>CLEAN("CONST OPS/BRIDGE REPLACEMENT")</f>
        <v>CONST OPS/BRIDGE REPLACEMENT</v>
      </c>
      <c r="H2750" s="2" t="str">
        <f t="shared" si="424"/>
        <v>LOC STR</v>
      </c>
      <c r="I2750" s="2" t="str">
        <f t="shared" ref="I2750:I2760" si="428">CLEAN("205")</f>
        <v>205</v>
      </c>
    </row>
    <row r="2751" spans="1:9" x14ac:dyDescent="0.35">
      <c r="A2751" s="2" t="str">
        <f>CLEAN("DODGE")</f>
        <v>DODGE</v>
      </c>
      <c r="B2751" s="2" t="str">
        <f>CLEAN("TOWN OF LOWELL")</f>
        <v>TOWN OF LOWELL</v>
      </c>
      <c r="C2751" s="2" t="s">
        <v>2093</v>
      </c>
      <c r="D2751" s="2" t="str">
        <f>CLEAN("3804-00-05")</f>
        <v>3804-00-05</v>
      </c>
      <c r="E2751" s="3" t="str">
        <f>CLEAN("TOWN OF LOWELL  WELL ROAD")</f>
        <v>TOWN OF LOWELL  WELL ROAD</v>
      </c>
      <c r="F2751" s="3" t="str">
        <f>CLEAN("SHAW CREEK BRIDGE  P-14-0038")</f>
        <v>SHAW CREEK BRIDGE  P-14-0038</v>
      </c>
      <c r="G2751" s="3" t="str">
        <f>CLEAN("DESIGN/PLAN CHECK REVIEW/BR REPLACE")</f>
        <v>DESIGN/PLAN CHECK REVIEW/BR REPLACE</v>
      </c>
      <c r="H2751" s="2" t="str">
        <f t="shared" si="424"/>
        <v>LOC STR</v>
      </c>
      <c r="I2751" s="2" t="str">
        <f t="shared" si="428"/>
        <v>205</v>
      </c>
    </row>
    <row r="2752" spans="1:9" x14ac:dyDescent="0.35">
      <c r="A2752" s="2" t="str">
        <f>CLEAN("DODGE")</f>
        <v>DODGE</v>
      </c>
      <c r="B2752" s="2" t="str">
        <f>CLEAN("TOWN OF LOWELL")</f>
        <v>TOWN OF LOWELL</v>
      </c>
      <c r="C2752" s="2" t="s">
        <v>79</v>
      </c>
      <c r="D2752" s="2" t="str">
        <f>CLEAN("3804-00-74")</f>
        <v>3804-00-74</v>
      </c>
      <c r="E2752" s="3" t="str">
        <f>CLEAN("TOWN OF LOWELL  BOBOLINK RD")</f>
        <v>TOWN OF LOWELL  BOBOLINK RD</v>
      </c>
      <c r="F2752" s="3" t="str">
        <f>CLEAN("CPRS RAIL ROAD BRIDGE  B-14-0225")</f>
        <v>CPRS RAIL ROAD BRIDGE  B-14-0225</v>
      </c>
      <c r="G2752" s="3" t="str">
        <f>CLEAN("CONST OPS/BRIDGE REPLACEMENT")</f>
        <v>CONST OPS/BRIDGE REPLACEMENT</v>
      </c>
      <c r="H2752" s="2" t="str">
        <f t="shared" si="424"/>
        <v>LOC STR</v>
      </c>
      <c r="I2752" s="2" t="str">
        <f t="shared" si="428"/>
        <v>205</v>
      </c>
    </row>
    <row r="2753" spans="1:9" x14ac:dyDescent="0.35">
      <c r="A2753" s="2" t="str">
        <f>CLEAN("DODGE")</f>
        <v>DODGE</v>
      </c>
      <c r="B2753" s="2" t="str">
        <f>CLEAN("TOWN OF LOWELL")</f>
        <v>TOWN OF LOWELL</v>
      </c>
      <c r="C2753" s="2" t="s">
        <v>466</v>
      </c>
      <c r="D2753" s="2" t="str">
        <f>CLEAN("3804-00-75")</f>
        <v>3804-00-75</v>
      </c>
      <c r="E2753" s="3" t="str">
        <f>CLEAN("TOWN OF LOWELL  WELL ROAD")</f>
        <v>TOWN OF LOWELL  WELL ROAD</v>
      </c>
      <c r="F2753" s="3" t="str">
        <f>CLEAN("SHAW CREEK BRIDGE  B-14-0226")</f>
        <v>SHAW CREEK BRIDGE  B-14-0226</v>
      </c>
      <c r="G2753" s="3" t="str">
        <f>CLEAN("CONST/BRIDGE REPLACEMENT")</f>
        <v>CONST/BRIDGE REPLACEMENT</v>
      </c>
      <c r="H2753" s="2" t="str">
        <f t="shared" si="424"/>
        <v>LOC STR</v>
      </c>
      <c r="I2753" s="2" t="str">
        <f t="shared" si="428"/>
        <v>205</v>
      </c>
    </row>
    <row r="2754" spans="1:9" x14ac:dyDescent="0.35">
      <c r="A2754" s="2" t="str">
        <f t="shared" ref="A2754:A2760" si="429">CLEAN("CLARK")</f>
        <v>CLARK</v>
      </c>
      <c r="B2754" s="2" t="str">
        <f>CLEAN("TOWN OF LOYAL")</f>
        <v>TOWN OF LOYAL</v>
      </c>
      <c r="C2754" s="2" t="s">
        <v>1470</v>
      </c>
      <c r="D2754" s="2" t="str">
        <f>CLEAN("7846-00-00")</f>
        <v>7846-00-00</v>
      </c>
      <c r="E2754" s="3" t="str">
        <f>CLEAN("T LOYAL  MANN ROAD")</f>
        <v>T LOYAL  MANN ROAD</v>
      </c>
      <c r="F2754" s="3" t="str">
        <f>CLEAN("N BR ONEILL CREEK BRIDGE P-10-0938")</f>
        <v>N BR ONEILL CREEK BRIDGE P-10-0938</v>
      </c>
      <c r="G2754" s="3" t="str">
        <f>CLEAN("DESIGN - FULL PS&amp;E BRRPL")</f>
        <v>DESIGN - FULL PS&amp;E BRRPL</v>
      </c>
      <c r="H2754" s="2" t="str">
        <f t="shared" si="424"/>
        <v>LOC STR</v>
      </c>
      <c r="I2754" s="2" t="str">
        <f t="shared" si="428"/>
        <v>205</v>
      </c>
    </row>
    <row r="2755" spans="1:9" x14ac:dyDescent="0.35">
      <c r="A2755" s="2" t="str">
        <f t="shared" si="429"/>
        <v>CLARK</v>
      </c>
      <c r="B2755" s="2" t="str">
        <f>CLEAN("TOWN OF LOYAL")</f>
        <v>TOWN OF LOYAL</v>
      </c>
      <c r="C2755" s="2" t="s">
        <v>1409</v>
      </c>
      <c r="D2755" s="2" t="str">
        <f>CLEAN("7846-00-01")</f>
        <v>7846-00-01</v>
      </c>
      <c r="E2755" s="3" t="str">
        <f>CLEAN("T LOYAL  SPENCER ROAD")</f>
        <v>T LOYAL  SPENCER ROAD</v>
      </c>
      <c r="F2755" s="3" t="str">
        <f>CLEAN("ROCK CREEK BRIDGE P-10-0156")</f>
        <v>ROCK CREEK BRIDGE P-10-0156</v>
      </c>
      <c r="G2755" s="3" t="str">
        <f>CLEAN("DESIGN - BRIDGE REPLACEMENT")</f>
        <v>DESIGN - BRIDGE REPLACEMENT</v>
      </c>
      <c r="H2755" s="2" t="str">
        <f t="shared" si="424"/>
        <v>LOC STR</v>
      </c>
      <c r="I2755" s="2" t="str">
        <f t="shared" si="428"/>
        <v>205</v>
      </c>
    </row>
    <row r="2756" spans="1:9" x14ac:dyDescent="0.35">
      <c r="A2756" s="2" t="str">
        <f t="shared" si="429"/>
        <v>CLARK</v>
      </c>
      <c r="B2756" s="2" t="str">
        <f>CLEAN("TOWN OF LOYAL")</f>
        <v>TOWN OF LOYAL</v>
      </c>
      <c r="C2756" s="2" t="s">
        <v>1382</v>
      </c>
      <c r="D2756" s="2" t="str">
        <f>CLEAN("7846-00-70")</f>
        <v>7846-00-70</v>
      </c>
      <c r="E2756" s="3" t="str">
        <f>CLEAN("T LOYAL  MANN ROAD")</f>
        <v>T LOYAL  MANN ROAD</v>
      </c>
      <c r="F2756" s="3" t="str">
        <f>CLEAN("N BR ONEILL CREEK BRIDGE B-10-0254")</f>
        <v>N BR ONEILL CREEK BRIDGE B-10-0254</v>
      </c>
      <c r="G2756" s="3" t="str">
        <f>CLEAN("CONSTRUCTON/BRIDGE REPLACEMENT")</f>
        <v>CONSTRUCTON/BRIDGE REPLACEMENT</v>
      </c>
      <c r="H2756" s="2" t="str">
        <f t="shared" si="424"/>
        <v>LOC STR</v>
      </c>
      <c r="I2756" s="2" t="str">
        <f t="shared" si="428"/>
        <v>205</v>
      </c>
    </row>
    <row r="2757" spans="1:9" x14ac:dyDescent="0.35">
      <c r="A2757" s="2" t="str">
        <f t="shared" si="429"/>
        <v>CLARK</v>
      </c>
      <c r="B2757" s="2" t="str">
        <f>CLEAN("TOWN OF LOYAL")</f>
        <v>TOWN OF LOYAL</v>
      </c>
      <c r="C2757" s="2" t="s">
        <v>1201</v>
      </c>
      <c r="D2757" s="2" t="str">
        <f>CLEAN("7846-00-71")</f>
        <v>7846-00-71</v>
      </c>
      <c r="E2757" s="3" t="str">
        <f>CLEAN("T LOYAL  SPENCER ROAD")</f>
        <v>T LOYAL  SPENCER ROAD</v>
      </c>
      <c r="F2757" s="3" t="str">
        <f>CLEAN("ROCK CREEK BRIDGE B-10-0258")</f>
        <v>ROCK CREEK BRIDGE B-10-0258</v>
      </c>
      <c r="G2757" s="3" t="str">
        <f>CLEAN("CONSTRUCTION/BRIDGE REPLACEMENT")</f>
        <v>CONSTRUCTION/BRIDGE REPLACEMENT</v>
      </c>
      <c r="H2757" s="2" t="str">
        <f t="shared" si="424"/>
        <v>LOC STR</v>
      </c>
      <c r="I2757" s="2" t="str">
        <f t="shared" si="428"/>
        <v>205</v>
      </c>
    </row>
    <row r="2758" spans="1:9" x14ac:dyDescent="0.35">
      <c r="A2758" s="2" t="str">
        <f t="shared" si="429"/>
        <v>CLARK</v>
      </c>
      <c r="B2758" s="2" t="str">
        <f>CLEAN("TOWN OF LYNN")</f>
        <v>TOWN OF LYNN</v>
      </c>
      <c r="C2758" s="2" t="s">
        <v>1479</v>
      </c>
      <c r="D2758" s="2" t="str">
        <f>CLEAN("7856-00-01")</f>
        <v>7856-00-01</v>
      </c>
      <c r="E2758" s="3" t="str">
        <f>CLEAN("T LYNN  CATLIN AVENUE")</f>
        <v>T LYNN  CATLIN AVENUE</v>
      </c>
      <c r="F2758" s="3" t="str">
        <f>CLEAN("S BR ONEILL CREEK BRIDGE P-10-0244")</f>
        <v>S BR ONEILL CREEK BRIDGE P-10-0244</v>
      </c>
      <c r="G2758" s="3" t="str">
        <f>CLEAN("DESIGN - FULL PS&amp;E BRRPL")</f>
        <v>DESIGN - FULL PS&amp;E BRRPL</v>
      </c>
      <c r="H2758" s="2" t="str">
        <f t="shared" si="424"/>
        <v>LOC STR</v>
      </c>
      <c r="I2758" s="2" t="str">
        <f t="shared" si="428"/>
        <v>205</v>
      </c>
    </row>
    <row r="2759" spans="1:9" x14ac:dyDescent="0.35">
      <c r="A2759" s="2" t="str">
        <f t="shared" si="429"/>
        <v>CLARK</v>
      </c>
      <c r="B2759" s="2" t="str">
        <f>CLEAN("TOWN OF LYNN")</f>
        <v>TOWN OF LYNN</v>
      </c>
      <c r="C2759" s="2" t="s">
        <v>1217</v>
      </c>
      <c r="D2759" s="2" t="str">
        <f>CLEAN("7856-00-70")</f>
        <v>7856-00-70</v>
      </c>
      <c r="E2759" s="3" t="str">
        <f>CLEAN("T LYNN  HILL ROAD")</f>
        <v>T LYNN  HILL ROAD</v>
      </c>
      <c r="F2759" s="3" t="str">
        <f>CLEAN("BR CUNNINGHAM CREEK BRIDGE B10-0388")</f>
        <v>BR CUNNINGHAM CREEK BRIDGE B10-0388</v>
      </c>
      <c r="G2759" s="3" t="str">
        <f>CLEAN("CONSTRUCTION/BRPPL")</f>
        <v>CONSTRUCTION/BRPPL</v>
      </c>
      <c r="H2759" s="2" t="str">
        <f t="shared" si="424"/>
        <v>LOC STR</v>
      </c>
      <c r="I2759" s="2" t="str">
        <f t="shared" si="428"/>
        <v>205</v>
      </c>
    </row>
    <row r="2760" spans="1:9" x14ac:dyDescent="0.35">
      <c r="A2760" s="2" t="str">
        <f t="shared" si="429"/>
        <v>CLARK</v>
      </c>
      <c r="B2760" s="2" t="str">
        <f>CLEAN("TOWN OF LYNN")</f>
        <v>TOWN OF LYNN</v>
      </c>
      <c r="C2760" s="2" t="s">
        <v>1203</v>
      </c>
      <c r="D2760" s="2" t="str">
        <f>CLEAN("7856-00-71")</f>
        <v>7856-00-71</v>
      </c>
      <c r="E2760" s="3" t="str">
        <f>CLEAN("T LYNN  CATLIN AVENUE")</f>
        <v>T LYNN  CATLIN AVENUE</v>
      </c>
      <c r="F2760" s="3" t="str">
        <f>CLEAN("S BR ONEILL CREEK BRIDGE B-10-0256")</f>
        <v>S BR ONEILL CREEK BRIDGE B-10-0256</v>
      </c>
      <c r="G2760" s="3" t="str">
        <f>CLEAN("CONSTRUCTION/BRIDGE REPLACEMENT")</f>
        <v>CONSTRUCTION/BRIDGE REPLACEMENT</v>
      </c>
      <c r="H2760" s="2" t="str">
        <f t="shared" si="424"/>
        <v>LOC STR</v>
      </c>
      <c r="I2760" s="2" t="str">
        <f t="shared" si="428"/>
        <v>205</v>
      </c>
    </row>
    <row r="2761" spans="1:9" x14ac:dyDescent="0.35">
      <c r="A2761" s="2" t="str">
        <f>CLEAN("ONEIDA")</f>
        <v>ONEIDA</v>
      </c>
      <c r="B2761" s="2" t="str">
        <f>CLEAN("TOWN OF LYNNE")</f>
        <v>TOWN OF LYNNE</v>
      </c>
      <c r="C2761" s="2" t="s">
        <v>1705</v>
      </c>
      <c r="D2761" s="2" t="str">
        <f>CLEAN("9872-00-01")</f>
        <v>9872-00-01</v>
      </c>
      <c r="E2761" s="3" t="str">
        <f>CLEAN("T LYNNE  WILLOW ROAD")</f>
        <v>T LYNNE  WILLOW ROAD</v>
      </c>
      <c r="F2761" s="3" t="str">
        <f>CLEAN("USH 8 TO INDIAN VILLAGE ROAD")</f>
        <v>USH 8 TO INDIAN VILLAGE ROAD</v>
      </c>
      <c r="G2761" s="3" t="str">
        <f>CLEAN("DESIGN OVERSITE/PVRPLA")</f>
        <v>DESIGN OVERSITE/PVRPLA</v>
      </c>
      <c r="H2761" s="2" t="str">
        <f t="shared" si="424"/>
        <v>LOC STR</v>
      </c>
      <c r="I2761" s="2" t="str">
        <f>CLEAN("206")</f>
        <v>206</v>
      </c>
    </row>
    <row r="2762" spans="1:9" x14ac:dyDescent="0.35">
      <c r="A2762" s="2" t="str">
        <f>CLEAN("WOOD")</f>
        <v>WOOD</v>
      </c>
      <c r="B2762" s="2" t="str">
        <f>CLEAN("TOWN OF MARSHFIELD")</f>
        <v>TOWN OF MARSHFIELD</v>
      </c>
      <c r="C2762" s="2" t="s">
        <v>2004</v>
      </c>
      <c r="D2762" s="2" t="str">
        <f>CLEAN("6952-01-01")</f>
        <v>6952-01-01</v>
      </c>
      <c r="E2762" s="3" t="str">
        <f>CLEAN("T MARSHFIELD  STADT ROAD")</f>
        <v>T MARSHFIELD  STADT ROAD</v>
      </c>
      <c r="F2762" s="3" t="str">
        <f>CLEAN("STRUCTURE REPLACEMENT P-71-0927")</f>
        <v>STRUCTURE REPLACEMENT P-71-0927</v>
      </c>
      <c r="G2762" s="3" t="str">
        <f>CLEAN("DESIGN/FULL PSE/REPLACEMENT")</f>
        <v>DESIGN/FULL PSE/REPLACEMENT</v>
      </c>
      <c r="H2762" s="2" t="str">
        <f t="shared" si="424"/>
        <v>LOC STR</v>
      </c>
      <c r="I2762" s="2" t="str">
        <f t="shared" ref="I2762:I2772" si="430">CLEAN("205")</f>
        <v>205</v>
      </c>
    </row>
    <row r="2763" spans="1:9" x14ac:dyDescent="0.35">
      <c r="A2763" s="2" t="str">
        <f>CLEAN("WOOD")</f>
        <v>WOOD</v>
      </c>
      <c r="B2763" s="2" t="str">
        <f>CLEAN("TOWN OF MARSHFIELD")</f>
        <v>TOWN OF MARSHFIELD</v>
      </c>
      <c r="C2763" s="2" t="s">
        <v>1979</v>
      </c>
      <c r="D2763" s="2" t="str">
        <f>CLEAN("6952-01-00")</f>
        <v>6952-01-00</v>
      </c>
      <c r="E2763" s="3" t="str">
        <f>CLEAN("T MARSHFIELD  STADT ROAD")</f>
        <v>T MARSHFIELD  STADT ROAD</v>
      </c>
      <c r="F2763" s="3" t="str">
        <f>CLEAN("MILL CREEK BRIDGE  P-71-0103")</f>
        <v>MILL CREEK BRIDGE  P-71-0103</v>
      </c>
      <c r="G2763" s="3" t="str">
        <f>CLEAN("DESIGN/FULL PSE/REPLACEMENT")</f>
        <v>DESIGN/FULL PSE/REPLACEMENT</v>
      </c>
      <c r="H2763" s="2" t="str">
        <f t="shared" si="424"/>
        <v>LOC STR</v>
      </c>
      <c r="I2763" s="2" t="str">
        <f t="shared" si="430"/>
        <v>205</v>
      </c>
    </row>
    <row r="2764" spans="1:9" x14ac:dyDescent="0.35">
      <c r="A2764" s="2" t="str">
        <f>CLEAN("WOOD")</f>
        <v>WOOD</v>
      </c>
      <c r="B2764" s="2" t="str">
        <f>CLEAN("TOWN OF MARSHFIELD")</f>
        <v>TOWN OF MARSHFIELD</v>
      </c>
      <c r="C2764" s="2" t="s">
        <v>908</v>
      </c>
      <c r="D2764" s="2" t="str">
        <f>CLEAN("6952-01-70")</f>
        <v>6952-01-70</v>
      </c>
      <c r="E2764" s="3" t="str">
        <f>CLEAN("T MARSHFIELD  STADT ROAD")</f>
        <v>T MARSHFIELD  STADT ROAD</v>
      </c>
      <c r="F2764" s="3" t="str">
        <f>CLEAN("MILL CREEK BRIDGE  B-71-0205")</f>
        <v>MILL CREEK BRIDGE  B-71-0205</v>
      </c>
      <c r="G2764" s="3" t="str">
        <f>CLEAN("CONST/REPLACEMENT")</f>
        <v>CONST/REPLACEMENT</v>
      </c>
      <c r="H2764" s="2" t="str">
        <f t="shared" si="424"/>
        <v>LOC STR</v>
      </c>
      <c r="I2764" s="2" t="str">
        <f t="shared" si="430"/>
        <v>205</v>
      </c>
    </row>
    <row r="2765" spans="1:9" x14ac:dyDescent="0.35">
      <c r="A2765" s="2" t="str">
        <f>CLEAN("WOOD")</f>
        <v>WOOD</v>
      </c>
      <c r="B2765" s="2" t="str">
        <f>CLEAN("TOWN OF MARSHFIELD")</f>
        <v>TOWN OF MARSHFIELD</v>
      </c>
      <c r="C2765" s="2" t="s">
        <v>932</v>
      </c>
      <c r="D2765" s="2" t="str">
        <f>CLEAN("6952-01-71")</f>
        <v>6952-01-71</v>
      </c>
      <c r="E2765" s="3" t="str">
        <f>CLEAN("T MARSHFIELD  STADT ROAD")</f>
        <v>T MARSHFIELD  STADT ROAD</v>
      </c>
      <c r="F2765" s="3" t="str">
        <f>CLEAN("STRUCTURE REPLACEMENT  B-71-0206")</f>
        <v>STRUCTURE REPLACEMENT  B-71-0206</v>
      </c>
      <c r="G2765" s="3" t="str">
        <f>CLEAN("CONST/REPLACEMENT")</f>
        <v>CONST/REPLACEMENT</v>
      </c>
      <c r="H2765" s="2" t="str">
        <f t="shared" si="424"/>
        <v>LOC STR</v>
      </c>
      <c r="I2765" s="2" t="str">
        <f t="shared" si="430"/>
        <v>205</v>
      </c>
    </row>
    <row r="2766" spans="1:9" x14ac:dyDescent="0.35">
      <c r="A2766" s="2" t="str">
        <f>CLEAN("CLARK")</f>
        <v>CLARK</v>
      </c>
      <c r="B2766" s="2" t="str">
        <f>CLEAN("TOWN OF MEAD")</f>
        <v>TOWN OF MEAD</v>
      </c>
      <c r="C2766" s="2" t="s">
        <v>1812</v>
      </c>
      <c r="D2766" s="2" t="str">
        <f>CLEAN("7839-00-00")</f>
        <v>7839-00-00</v>
      </c>
      <c r="E2766" s="3" t="str">
        <f>CLEAN("T MEAD  STARKS ROAD")</f>
        <v>T MEAD  STARKS ROAD</v>
      </c>
      <c r="F2766" s="3" t="str">
        <f>CLEAN("S FORK EAU CLAIRE RVR BRDG B100375")</f>
        <v>S FORK EAU CLAIRE RVR BRDG B100375</v>
      </c>
      <c r="G2766" s="3" t="str">
        <f>CLEAN("DESIGN/BRIDGE REPLACEMENT")</f>
        <v>DESIGN/BRIDGE REPLACEMENT</v>
      </c>
      <c r="H2766" s="2" t="str">
        <f t="shared" si="424"/>
        <v>LOC STR</v>
      </c>
      <c r="I2766" s="2" t="str">
        <f t="shared" si="430"/>
        <v>205</v>
      </c>
    </row>
    <row r="2767" spans="1:9" x14ac:dyDescent="0.35">
      <c r="A2767" s="2" t="str">
        <f>CLEAN("CLARK")</f>
        <v>CLARK</v>
      </c>
      <c r="B2767" s="2" t="str">
        <f>CLEAN("TOWN OF MEAD")</f>
        <v>TOWN OF MEAD</v>
      </c>
      <c r="C2767" s="2" t="s">
        <v>1205</v>
      </c>
      <c r="D2767" s="2" t="str">
        <f>CLEAN("7839-00-70")</f>
        <v>7839-00-70</v>
      </c>
      <c r="E2767" s="3" t="str">
        <f>CLEAN("T MEAD  STARKS ROAD")</f>
        <v>T MEAD  STARKS ROAD</v>
      </c>
      <c r="F2767" s="3" t="str">
        <f>CLEAN("S FORK EAU CLAIRE RVR BRDG B100396")</f>
        <v>S FORK EAU CLAIRE RVR BRDG B100396</v>
      </c>
      <c r="G2767" s="3" t="str">
        <f>CLEAN("CONSTRUCTION/BRIDGE REPLACEMENT")</f>
        <v>CONSTRUCTION/BRIDGE REPLACEMENT</v>
      </c>
      <c r="H2767" s="2" t="str">
        <f t="shared" si="424"/>
        <v>LOC STR</v>
      </c>
      <c r="I2767" s="2" t="str">
        <f t="shared" si="430"/>
        <v>205</v>
      </c>
    </row>
    <row r="2768" spans="1:9" x14ac:dyDescent="0.35">
      <c r="A2768" s="2" t="str">
        <f>CLEAN("TAYLOR")</f>
        <v>TAYLOR</v>
      </c>
      <c r="B2768" s="2" t="str">
        <f>CLEAN("TOWN OF MEDFORD")</f>
        <v>TOWN OF MEDFORD</v>
      </c>
      <c r="C2768" s="2" t="s">
        <v>2323</v>
      </c>
      <c r="D2768" s="2" t="str">
        <f>CLEAN("8890-00-02")</f>
        <v>8890-00-02</v>
      </c>
      <c r="E2768" s="3" t="str">
        <f>CLEAN("T MEDFORD  CENTER AVENUE")</f>
        <v>T MEDFORD  CENTER AVENUE</v>
      </c>
      <c r="F2768" s="3" t="str">
        <f>CLEAN("BLACK RIVER BRIDGE P-60-0118")</f>
        <v>BLACK RIVER BRIDGE P-60-0118</v>
      </c>
      <c r="G2768" s="3" t="str">
        <f>CLEAN("DESIGN-FULL PS&amp;E/BRIDGE REPLACEMENT")</f>
        <v>DESIGN-FULL PS&amp;E/BRIDGE REPLACEMENT</v>
      </c>
      <c r="H2768" s="2" t="str">
        <f t="shared" si="424"/>
        <v>LOC STR</v>
      </c>
      <c r="I2768" s="2" t="str">
        <f t="shared" si="430"/>
        <v>205</v>
      </c>
    </row>
    <row r="2769" spans="1:9" x14ac:dyDescent="0.35">
      <c r="A2769" s="2" t="str">
        <f>CLEAN("TAYLOR")</f>
        <v>TAYLOR</v>
      </c>
      <c r="B2769" s="2" t="str">
        <f>CLEAN("TOWN OF MEDFORD")</f>
        <v>TOWN OF MEDFORD</v>
      </c>
      <c r="C2769" s="2" t="s">
        <v>1161</v>
      </c>
      <c r="D2769" s="2" t="str">
        <f>CLEAN("8890-00-72")</f>
        <v>8890-00-72</v>
      </c>
      <c r="E2769" s="3" t="str">
        <f>CLEAN("T MEDFORD  CENTER AVENUE")</f>
        <v>T MEDFORD  CENTER AVENUE</v>
      </c>
      <c r="F2769" s="3" t="str">
        <f>CLEAN("BLACK RIVER BRIDGE B-60-0158")</f>
        <v>BLACK RIVER BRIDGE B-60-0158</v>
      </c>
      <c r="G2769" s="3" t="str">
        <f>CLEAN("CONSTRUCTION/BRIDGE REPLACEMENT")</f>
        <v>CONSTRUCTION/BRIDGE REPLACEMENT</v>
      </c>
      <c r="H2769" s="2" t="str">
        <f t="shared" si="424"/>
        <v>LOC STR</v>
      </c>
      <c r="I2769" s="2" t="str">
        <f t="shared" si="430"/>
        <v>205</v>
      </c>
    </row>
    <row r="2770" spans="1:9" x14ac:dyDescent="0.35">
      <c r="A2770" s="2" t="str">
        <f>CLEAN("CLARK")</f>
        <v>CLARK</v>
      </c>
      <c r="B2770" s="2" t="str">
        <f>CLEAN("TOWN OF MENTOR")</f>
        <v>TOWN OF MENTOR</v>
      </c>
      <c r="C2770" s="2" t="s">
        <v>1446</v>
      </c>
      <c r="D2770" s="2" t="str">
        <f>CLEAN("7852-00-01")</f>
        <v>7852-00-01</v>
      </c>
      <c r="E2770" s="3" t="str">
        <f>CLEAN("T MENTOR  MAIN STREET")</f>
        <v>T MENTOR  MAIN STREET</v>
      </c>
      <c r="F2770" s="3" t="str">
        <f>CLEAN("E FORK HALLS CREEK BRIDGE P-10-0196")</f>
        <v>E FORK HALLS CREEK BRIDGE P-10-0196</v>
      </c>
      <c r="G2770" s="3" t="str">
        <f>CLEAN("DESIGN - FULL PS&amp;E BRRPL")</f>
        <v>DESIGN - FULL PS&amp;E BRRPL</v>
      </c>
      <c r="H2770" s="2" t="str">
        <f t="shared" si="424"/>
        <v>LOC STR</v>
      </c>
      <c r="I2770" s="2" t="str">
        <f t="shared" si="430"/>
        <v>205</v>
      </c>
    </row>
    <row r="2771" spans="1:9" x14ac:dyDescent="0.35">
      <c r="A2771" s="2" t="str">
        <f>CLEAN("CLARK")</f>
        <v>CLARK</v>
      </c>
      <c r="B2771" s="2" t="str">
        <f>CLEAN("TOWN OF MENTOR")</f>
        <v>TOWN OF MENTOR</v>
      </c>
      <c r="C2771" s="2" t="s">
        <v>1242</v>
      </c>
      <c r="D2771" s="2" t="str">
        <f>CLEAN("7852-00-70")</f>
        <v>7852-00-70</v>
      </c>
      <c r="E2771" s="3" t="str">
        <f>CLEAN("T MENTOR  FAIRVIEW AVENUE")</f>
        <v>T MENTOR  FAIRVIEW AVENUE</v>
      </c>
      <c r="F2771" s="3" t="str">
        <f>CLEAN("E FK HALLS CREEK BRIDGE B-10-0389")</f>
        <v>E FK HALLS CREEK BRIDGE B-10-0389</v>
      </c>
      <c r="G2771" s="3" t="str">
        <f>CLEAN("CONSTRUCTION/BRRPL")</f>
        <v>CONSTRUCTION/BRRPL</v>
      </c>
      <c r="H2771" s="2" t="str">
        <f t="shared" si="424"/>
        <v>LOC STR</v>
      </c>
      <c r="I2771" s="2" t="str">
        <f t="shared" si="430"/>
        <v>205</v>
      </c>
    </row>
    <row r="2772" spans="1:9" x14ac:dyDescent="0.35">
      <c r="A2772" s="2" t="str">
        <f>CLEAN("CLARK")</f>
        <v>CLARK</v>
      </c>
      <c r="B2772" s="2" t="str">
        <f>CLEAN("TOWN OF MENTOR")</f>
        <v>TOWN OF MENTOR</v>
      </c>
      <c r="C2772" s="2" t="s">
        <v>1176</v>
      </c>
      <c r="D2772" s="2" t="str">
        <f>CLEAN("7852-00-71")</f>
        <v>7852-00-71</v>
      </c>
      <c r="E2772" s="3" t="str">
        <f>CLEAN("T MENTOR  MAIN STREET")</f>
        <v>T MENTOR  MAIN STREET</v>
      </c>
      <c r="F2772" s="3" t="str">
        <f>CLEAN("E FORK HALLS CREEK BRIDGE B-10-0257")</f>
        <v>E FORK HALLS CREEK BRIDGE B-10-0257</v>
      </c>
      <c r="G2772" s="3" t="str">
        <f>CLEAN("CONSTRUCTION/BRIDGE REPLACEMENT")</f>
        <v>CONSTRUCTION/BRIDGE REPLACEMENT</v>
      </c>
      <c r="H2772" s="2" t="str">
        <f t="shared" si="424"/>
        <v>LOC STR</v>
      </c>
      <c r="I2772" s="2" t="str">
        <f t="shared" si="430"/>
        <v>205</v>
      </c>
    </row>
    <row r="2773" spans="1:9" x14ac:dyDescent="0.35">
      <c r="A2773" s="2" t="str">
        <f>CLEAN("IRON")</f>
        <v>IRON</v>
      </c>
      <c r="B2773" s="2" t="str">
        <f>CLEAN("TOWN OF MERCER")</f>
        <v>TOWN OF MERCER</v>
      </c>
      <c r="C2773" s="2" t="s">
        <v>2525</v>
      </c>
      <c r="D2773" s="2" t="str">
        <f>CLEAN("1009-44-26")</f>
        <v>1009-44-26</v>
      </c>
      <c r="E2773" s="3" t="str">
        <f>CLEAN("MERCER BIKE/PED TRAIL EXPANSION")</f>
        <v>MERCER BIKE/PED TRAIL EXPANSION</v>
      </c>
      <c r="F2773" s="3" t="str">
        <f>CLEAN("MERCER TO WINMAN TRAIL")</f>
        <v>MERCER TO WINMAN TRAIL</v>
      </c>
      <c r="G2773" s="3" t="str">
        <f>CLEAN("FEASIBILITY STUDY")</f>
        <v>FEASIBILITY STUDY</v>
      </c>
      <c r="H2773" s="2" t="str">
        <f>CLEAN("NON HWY")</f>
        <v>NON HWY</v>
      </c>
      <c r="I2773" s="2" t="str">
        <f>CLEAN("290")</f>
        <v>290</v>
      </c>
    </row>
    <row r="2774" spans="1:9" x14ac:dyDescent="0.35">
      <c r="A2774" s="2" t="str">
        <f>CLEAN("IRON")</f>
        <v>IRON</v>
      </c>
      <c r="B2774" s="2" t="str">
        <f>CLEAN("TOWN OF MERCER")</f>
        <v>TOWN OF MERCER</v>
      </c>
      <c r="C2774" s="2" t="s">
        <v>951</v>
      </c>
      <c r="D2774" s="2" t="str">
        <f>CLEAN("1175-18-76")</f>
        <v>1175-18-76</v>
      </c>
      <c r="E2774" s="3" t="str">
        <f>CLEAN("MANITOWISH - HURLEY")</f>
        <v>MANITOWISH - HURLEY</v>
      </c>
      <c r="F2774" s="3" t="str">
        <f>CLEAN("BEACHWAY DRIVE TO LAKEVIEW ROAD")</f>
        <v>BEACHWAY DRIVE TO LAKEVIEW ROAD</v>
      </c>
      <c r="G2774" s="3" t="str">
        <f>CLEAN("CONST/RESURFACE")</f>
        <v>CONST/RESURFACE</v>
      </c>
      <c r="H2774" s="2" t="str">
        <f>CLEAN("USH 051")</f>
        <v>USH 051</v>
      </c>
      <c r="I2774" s="2" t="str">
        <f>CLEAN("303")</f>
        <v>303</v>
      </c>
    </row>
    <row r="2775" spans="1:9" x14ac:dyDescent="0.35">
      <c r="A2775" s="2" t="str">
        <f>CLEAN("WAUKESHA")</f>
        <v>WAUKESHA</v>
      </c>
      <c r="B2775" s="2" t="str">
        <f>CLEAN("TOWN OF MERTON")</f>
        <v>TOWN OF MERTON</v>
      </c>
      <c r="C2775" s="2" t="s">
        <v>2702</v>
      </c>
      <c r="D2775" s="2" t="str">
        <f>CLEAN("2713-05-00")</f>
        <v>2713-05-00</v>
      </c>
      <c r="E2775" s="3" t="str">
        <f>CLEAN("T MERTON  STONE BANK RD")</f>
        <v>T MERTON  STONE BANK RD</v>
      </c>
      <c r="F2775" s="3" t="str">
        <f>CLEAN("UNION PACIFIC RR BRIDGE B67-0197")</f>
        <v>UNION PACIFIC RR BRIDGE B67-0197</v>
      </c>
      <c r="G2775" s="3" t="str">
        <f>CLEAN("PE/FULL PS&amp;E ROW/BRRPL")</f>
        <v>PE/FULL PS&amp;E ROW/BRRPL</v>
      </c>
      <c r="H2775" s="2" t="str">
        <f>CLEAN("LOC STR")</f>
        <v>LOC STR</v>
      </c>
      <c r="I2775" s="2" t="str">
        <f>CLEAN("205")</f>
        <v>205</v>
      </c>
    </row>
    <row r="2776" spans="1:9" x14ac:dyDescent="0.35">
      <c r="A2776" s="2" t="str">
        <f t="shared" ref="A2776:A2783" si="431">CLEAN("ONEIDA")</f>
        <v>ONEIDA</v>
      </c>
      <c r="B2776" s="2" t="str">
        <f t="shared" ref="B2776:B2783" si="432">CLEAN("TOWN OF MINOCQUA")</f>
        <v>TOWN OF MINOCQUA</v>
      </c>
      <c r="C2776" s="2" t="s">
        <v>3077</v>
      </c>
      <c r="D2776" s="2" t="str">
        <f>CLEAN("1009-07-43")</f>
        <v>1009-07-43</v>
      </c>
      <c r="E2776" s="3" t="str">
        <f>CLEAN("USH 51 MULTI USE PATH STUDY")</f>
        <v>USH 51 MULTI USE PATH STUDY</v>
      </c>
      <c r="F2776" s="3" t="str">
        <f>CLEAN("LEARY ROAD TO MANITOU PARK DRIVE")</f>
        <v>LEARY ROAD TO MANITOU PARK DRIVE</v>
      </c>
      <c r="G2776" s="3" t="str">
        <f>CLEAN("PLANNING STUDY")</f>
        <v>PLANNING STUDY</v>
      </c>
      <c r="H2776" s="2" t="str">
        <f>CLEAN("NON HWY")</f>
        <v>NON HWY</v>
      </c>
      <c r="I2776" s="2" t="str">
        <f>CLEAN("290")</f>
        <v>290</v>
      </c>
    </row>
    <row r="2777" spans="1:9" x14ac:dyDescent="0.35">
      <c r="A2777" s="2" t="str">
        <f t="shared" si="431"/>
        <v>ONEIDA</v>
      </c>
      <c r="B2777" s="2" t="str">
        <f t="shared" si="432"/>
        <v>TOWN OF MINOCQUA</v>
      </c>
      <c r="C2777" s="2" t="s">
        <v>3075</v>
      </c>
      <c r="D2777" s="2" t="str">
        <f>CLEAN("1009-44-43")</f>
        <v>1009-44-43</v>
      </c>
      <c r="E2777" s="3" t="str">
        <f>CLEAN("STH 70 MULTI USE PATH STUDY")</f>
        <v>STH 70 MULTI USE PATH STUDY</v>
      </c>
      <c r="F2777" s="3" t="str">
        <f>CLEAN("CAMP PINEMERE RD TO MORGAN RD")</f>
        <v>CAMP PINEMERE RD TO MORGAN RD</v>
      </c>
      <c r="G2777" s="3" t="str">
        <f>CLEAN("PLANNING STUDY")</f>
        <v>PLANNING STUDY</v>
      </c>
      <c r="H2777" s="2" t="str">
        <f>CLEAN("NON HWY")</f>
        <v>NON HWY</v>
      </c>
      <c r="I2777" s="2" t="str">
        <f>CLEAN("290")</f>
        <v>290</v>
      </c>
    </row>
    <row r="2778" spans="1:9" x14ac:dyDescent="0.35">
      <c r="A2778" s="2" t="str">
        <f t="shared" si="431"/>
        <v>ONEIDA</v>
      </c>
      <c r="B2778" s="2" t="str">
        <f t="shared" si="432"/>
        <v>TOWN OF MINOCQUA</v>
      </c>
      <c r="C2778" s="2" t="s">
        <v>974</v>
      </c>
      <c r="D2778" s="2" t="str">
        <f>CLEAN("1170-19-61")</f>
        <v>1170-19-61</v>
      </c>
      <c r="E2778" s="3" t="str">
        <f>CLEAN("MINOCQUA - MANITOWISH")</f>
        <v>MINOCQUA - MANITOWISH</v>
      </c>
      <c r="F2778" s="3" t="str">
        <f>CLEAN("MINOCQUA BRIDGE TO FRONT STREET")</f>
        <v>MINOCQUA BRIDGE TO FRONT STREET</v>
      </c>
      <c r="G2778" s="3" t="str">
        <f>CLEAN("CONST/RESURFACE")</f>
        <v>CONST/RESURFACE</v>
      </c>
      <c r="H2778" s="2" t="str">
        <f>CLEAN("USH 051")</f>
        <v>USH 051</v>
      </c>
      <c r="I2778" s="2" t="str">
        <f>CLEAN("303")</f>
        <v>303</v>
      </c>
    </row>
    <row r="2779" spans="1:9" x14ac:dyDescent="0.35">
      <c r="A2779" s="2" t="str">
        <f t="shared" si="431"/>
        <v>ONEIDA</v>
      </c>
      <c r="B2779" s="2" t="str">
        <f t="shared" si="432"/>
        <v>TOWN OF MINOCQUA</v>
      </c>
      <c r="C2779" s="2" t="s">
        <v>665</v>
      </c>
      <c r="D2779" s="2" t="str">
        <f>CLEAN("1170-19-72")</f>
        <v>1170-19-72</v>
      </c>
      <c r="E2779" s="3" t="str">
        <f>CLEAN("MINOCQUA - MANITOWISH")</f>
        <v>MINOCQUA - MANITOWISH</v>
      </c>
      <c r="F2779" s="3" t="str">
        <f>CLEAN("MANITOU PARK TO MINOCQUA LK BRIDGE")</f>
        <v>MANITOU PARK TO MINOCQUA LK BRIDGE</v>
      </c>
      <c r="G2779" s="3" t="str">
        <f>CLEAN("CONST/PAVEMENT REPLACEMENT")</f>
        <v>CONST/PAVEMENT REPLACEMENT</v>
      </c>
      <c r="H2779" s="2" t="str">
        <f>CLEAN("USH 051")</f>
        <v>USH 051</v>
      </c>
      <c r="I2779" s="2" t="str">
        <f>CLEAN("303")</f>
        <v>303</v>
      </c>
    </row>
    <row r="2780" spans="1:9" x14ac:dyDescent="0.35">
      <c r="A2780" s="2" t="str">
        <f t="shared" si="431"/>
        <v>ONEIDA</v>
      </c>
      <c r="B2780" s="2" t="str">
        <f t="shared" si="432"/>
        <v>TOWN OF MINOCQUA</v>
      </c>
      <c r="C2780" s="2" t="s">
        <v>966</v>
      </c>
      <c r="D2780" s="2" t="str">
        <f>CLEAN("1174-10-74")</f>
        <v>1174-10-74</v>
      </c>
      <c r="E2780" s="3" t="str">
        <f>CLEAN("MINOCQUA - MANITOWISH")</f>
        <v>MINOCQUA - MANITOWISH</v>
      </c>
      <c r="F2780" s="3" t="str">
        <f>CLEAN("FRONT STREET TO 3RD AVENUE")</f>
        <v>FRONT STREET TO 3RD AVENUE</v>
      </c>
      <c r="G2780" s="3" t="str">
        <f>CLEAN("CONST/RESURFACE")</f>
        <v>CONST/RESURFACE</v>
      </c>
      <c r="H2780" s="2" t="str">
        <f>CLEAN("USH 051")</f>
        <v>USH 051</v>
      </c>
      <c r="I2780" s="2" t="str">
        <f>CLEAN("303")</f>
        <v>303</v>
      </c>
    </row>
    <row r="2781" spans="1:9" x14ac:dyDescent="0.35">
      <c r="A2781" s="2" t="str">
        <f t="shared" si="431"/>
        <v>ONEIDA</v>
      </c>
      <c r="B2781" s="2" t="str">
        <f t="shared" si="432"/>
        <v>TOWN OF MINOCQUA</v>
      </c>
      <c r="C2781" s="2" t="s">
        <v>1706</v>
      </c>
      <c r="D2781" s="2" t="str">
        <f>CLEAN("9874-00-00")</f>
        <v>9874-00-00</v>
      </c>
      <c r="E2781" s="3" t="str">
        <f>CLEAN("T MINOCQUA  CAMP NINE ROAD")</f>
        <v>T MINOCQUA  CAMP NINE ROAD</v>
      </c>
      <c r="F2781" s="3" t="str">
        <f>CLEAN("MANHARDT ROAD TO CEDAR FALLS ROAD")</f>
        <v>MANHARDT ROAD TO CEDAR FALLS ROAD</v>
      </c>
      <c r="G2781" s="3" t="str">
        <f>CLEAN("DESIGN OVERSITE/RCST/NEW BRIDGE")</f>
        <v>DESIGN OVERSITE/RCST/NEW BRIDGE</v>
      </c>
      <c r="H2781" s="2" t="str">
        <f t="shared" ref="H2781:H2798" si="433">CLEAN("LOC STR")</f>
        <v>LOC STR</v>
      </c>
      <c r="I2781" s="2" t="str">
        <f>CLEAN("206")</f>
        <v>206</v>
      </c>
    </row>
    <row r="2782" spans="1:9" x14ac:dyDescent="0.35">
      <c r="A2782" s="2" t="str">
        <f t="shared" si="431"/>
        <v>ONEIDA</v>
      </c>
      <c r="B2782" s="2" t="str">
        <f t="shared" si="432"/>
        <v>TOWN OF MINOCQUA</v>
      </c>
      <c r="C2782" s="2" t="s">
        <v>1893</v>
      </c>
      <c r="D2782" s="2" t="str">
        <f>CLEAN("9874-00-10")</f>
        <v>9874-00-10</v>
      </c>
      <c r="E2782" s="3" t="str">
        <f>CLEAN("MINOCQUA LED STREETLIGHT CONVERSION")</f>
        <v>MINOCQUA LED STREETLIGHT CONVERSION</v>
      </c>
      <c r="F2782" s="3" t="str">
        <f>CLEAN("USH 51 VARIOUS LOCATIONS")</f>
        <v>USH 51 VARIOUS LOCATIONS</v>
      </c>
      <c r="G2782" s="3" t="str">
        <f>CLEAN("DESIGN/FULL PSE/CRP/MISC")</f>
        <v>DESIGN/FULL PSE/CRP/MISC</v>
      </c>
      <c r="H2782" s="2" t="str">
        <f t="shared" si="433"/>
        <v>LOC STR</v>
      </c>
      <c r="I2782" s="2" t="str">
        <f>CLEAN("206")</f>
        <v>206</v>
      </c>
    </row>
    <row r="2783" spans="1:9" x14ac:dyDescent="0.35">
      <c r="A2783" s="2" t="str">
        <f t="shared" si="431"/>
        <v>ONEIDA</v>
      </c>
      <c r="B2783" s="2" t="str">
        <f t="shared" si="432"/>
        <v>TOWN OF MINOCQUA</v>
      </c>
      <c r="C2783" s="2" t="s">
        <v>812</v>
      </c>
      <c r="D2783" s="2" t="str">
        <f>CLEAN("9874-00-70")</f>
        <v>9874-00-70</v>
      </c>
      <c r="E2783" s="3" t="str">
        <f>CLEAN("T MINOCQUA  CAMP NINE ROAD")</f>
        <v>T MINOCQUA  CAMP NINE ROAD</v>
      </c>
      <c r="F2783" s="3" t="str">
        <f>CLEAN("MANHARDT ROAD TO CEDAR FALLS ROAD")</f>
        <v>MANHARDT ROAD TO CEDAR FALLS ROAD</v>
      </c>
      <c r="G2783" s="3" t="str">
        <f>CLEAN("CONST/RECONSTRUCT/NEW BRIDGE")</f>
        <v>CONST/RECONSTRUCT/NEW BRIDGE</v>
      </c>
      <c r="H2783" s="2" t="str">
        <f t="shared" si="433"/>
        <v>LOC STR</v>
      </c>
      <c r="I2783" s="2" t="str">
        <f>CLEAN("206")</f>
        <v>206</v>
      </c>
    </row>
    <row r="2784" spans="1:9" x14ac:dyDescent="0.35">
      <c r="A2784" s="2" t="str">
        <f>CLEAN("MANITOWOC")</f>
        <v>MANITOWOC</v>
      </c>
      <c r="B2784" s="2" t="str">
        <f>CLEAN("TOWN OF MISHICOT")</f>
        <v>TOWN OF MISHICOT</v>
      </c>
      <c r="C2784" s="2" t="s">
        <v>2473</v>
      </c>
      <c r="D2784" s="2" t="str">
        <f>CLEAN("4307-02-00")</f>
        <v>4307-02-00</v>
      </c>
      <c r="E2784" s="3" t="str">
        <f>CLEAN("T MISHICOT  SAMZ ROAD")</f>
        <v>T MISHICOT  SAMZ ROAD</v>
      </c>
      <c r="F2784" s="3" t="str">
        <f>CLEAN("CHERNEY ROAD - RIDGE ROAD")</f>
        <v>CHERNEY ROAD - RIDGE ROAD</v>
      </c>
      <c r="G2784" s="3" t="str">
        <f>CLEAN("DSN/FULL PSE/RECST")</f>
        <v>DSN/FULL PSE/RECST</v>
      </c>
      <c r="H2784" s="2" t="str">
        <f t="shared" si="433"/>
        <v>LOC STR</v>
      </c>
      <c r="I2784" s="2" t="str">
        <f>CLEAN("206")</f>
        <v>206</v>
      </c>
    </row>
    <row r="2785" spans="1:9" x14ac:dyDescent="0.35">
      <c r="A2785" s="2" t="str">
        <f>CLEAN("MANITOWOC")</f>
        <v>MANITOWOC</v>
      </c>
      <c r="B2785" s="2" t="str">
        <f>CLEAN("TOWN OF MISHICOT")</f>
        <v>TOWN OF MISHICOT</v>
      </c>
      <c r="C2785" s="2" t="s">
        <v>270</v>
      </c>
      <c r="D2785" s="2" t="str">
        <f>CLEAN("4307-02-71")</f>
        <v>4307-02-71</v>
      </c>
      <c r="E2785" s="3" t="str">
        <f>CLEAN("T MISHICOT  SAMZ ROAD")</f>
        <v>T MISHICOT  SAMZ ROAD</v>
      </c>
      <c r="F2785" s="3" t="str">
        <f>CLEAN("CHERNEY ROAD - RIDGE ROAD")</f>
        <v>CHERNEY ROAD - RIDGE ROAD</v>
      </c>
      <c r="G2785" s="3" t="str">
        <f>CLEAN("CONST OPS/RECST")</f>
        <v>CONST OPS/RECST</v>
      </c>
      <c r="H2785" s="2" t="str">
        <f t="shared" si="433"/>
        <v>LOC STR</v>
      </c>
      <c r="I2785" s="2" t="str">
        <f>CLEAN("206")</f>
        <v>206</v>
      </c>
    </row>
    <row r="2786" spans="1:9" x14ac:dyDescent="0.35">
      <c r="A2786" s="2" t="str">
        <f>CLEAN("GRANT")</f>
        <v>GRANT</v>
      </c>
      <c r="B2786" s="2" t="str">
        <f>CLEAN("TOWN OF MOUNT IDA")</f>
        <v>TOWN OF MOUNT IDA</v>
      </c>
      <c r="C2786" s="2" t="s">
        <v>1752</v>
      </c>
      <c r="D2786" s="2" t="str">
        <f>CLEAN("5757-00-03")</f>
        <v>5757-00-03</v>
      </c>
      <c r="E2786" s="3" t="str">
        <f>CLEAN("T MT. IDA  GREEN RIVER ROAD")</f>
        <v>T MT. IDA  GREEN RIVER ROAD</v>
      </c>
      <c r="F2786" s="3" t="str">
        <f>CLEAN("BR BIG GREEN RIVER BRIDGE P-22-0154")</f>
        <v>BR BIG GREEN RIVER BRIDGE P-22-0154</v>
      </c>
      <c r="G2786" s="3" t="str">
        <f>CLEAN("DESIGN/BRIDGE REPLACEMENT")</f>
        <v>DESIGN/BRIDGE REPLACEMENT</v>
      </c>
      <c r="H2786" s="2" t="str">
        <f t="shared" si="433"/>
        <v>LOC STR</v>
      </c>
      <c r="I2786" s="2" t="str">
        <f>CLEAN("205")</f>
        <v>205</v>
      </c>
    </row>
    <row r="2787" spans="1:9" x14ac:dyDescent="0.35">
      <c r="A2787" s="2" t="str">
        <f>CLEAN("GRANT")</f>
        <v>GRANT</v>
      </c>
      <c r="B2787" s="2" t="str">
        <f>CLEAN("TOWN OF MOUNT IDA")</f>
        <v>TOWN OF MOUNT IDA</v>
      </c>
      <c r="C2787" s="2" t="s">
        <v>1748</v>
      </c>
      <c r="D2787" s="2" t="str">
        <f>CLEAN("5757-00-04")</f>
        <v>5757-00-04</v>
      </c>
      <c r="E2787" s="3" t="str">
        <f>CLEAN("T MT. IDA  BIG GREEN ROAD")</f>
        <v>T MT. IDA  BIG GREEN ROAD</v>
      </c>
      <c r="F2787" s="3" t="str">
        <f>CLEAN("BIG GREEN RIVER BRIDGE P-22-0158")</f>
        <v>BIG GREEN RIVER BRIDGE P-22-0158</v>
      </c>
      <c r="G2787" s="3" t="str">
        <f>CLEAN("DESIGN/BRIDGE REPLACEMENT")</f>
        <v>DESIGN/BRIDGE REPLACEMENT</v>
      </c>
      <c r="H2787" s="2" t="str">
        <f t="shared" si="433"/>
        <v>LOC STR</v>
      </c>
      <c r="I2787" s="2" t="str">
        <f>CLEAN("205")</f>
        <v>205</v>
      </c>
    </row>
    <row r="2788" spans="1:9" x14ac:dyDescent="0.35">
      <c r="A2788" s="2" t="str">
        <f>CLEAN("GRANT")</f>
        <v>GRANT</v>
      </c>
      <c r="B2788" s="2" t="str">
        <f>CLEAN("TOWN OF MOUNT IDA")</f>
        <v>TOWN OF MOUNT IDA</v>
      </c>
      <c r="C2788" s="2" t="s">
        <v>405</v>
      </c>
      <c r="D2788" s="2" t="str">
        <f>CLEAN("5757-00-73")</f>
        <v>5757-00-73</v>
      </c>
      <c r="E2788" s="3" t="str">
        <f>CLEAN("T MT. IDA  GREEN RIVER ROAD")</f>
        <v>T MT. IDA  GREEN RIVER ROAD</v>
      </c>
      <c r="F2788" s="3" t="str">
        <f>CLEAN("BR BIG GREEN RIVER BRIDGE B-22-0310")</f>
        <v>BR BIG GREEN RIVER BRIDGE B-22-0310</v>
      </c>
      <c r="G2788" s="3" t="str">
        <f>CLEAN("CONST/BRIDGE REPLACEMENT")</f>
        <v>CONST/BRIDGE REPLACEMENT</v>
      </c>
      <c r="H2788" s="2" t="str">
        <f t="shared" si="433"/>
        <v>LOC STR</v>
      </c>
      <c r="I2788" s="2" t="str">
        <f>CLEAN("205")</f>
        <v>205</v>
      </c>
    </row>
    <row r="2789" spans="1:9" x14ac:dyDescent="0.35">
      <c r="A2789" s="2" t="str">
        <f>CLEAN("GRANT")</f>
        <v>GRANT</v>
      </c>
      <c r="B2789" s="2" t="str">
        <f>CLEAN("TOWN OF NORTH LANCASTER")</f>
        <v>TOWN OF NORTH LANCASTER</v>
      </c>
      <c r="C2789" s="2" t="s">
        <v>1751</v>
      </c>
      <c r="D2789" s="2" t="str">
        <f>CLEAN("5691-00-09")</f>
        <v>5691-00-09</v>
      </c>
      <c r="E2789" s="3" t="str">
        <f>CLEAN("TOWN OF N LANCASTER  BORAH RD")</f>
        <v>TOWN OF N LANCASTER  BORAH RD</v>
      </c>
      <c r="F2789" s="3" t="str">
        <f>CLEAN("BORAH CREEK BRIDGE  P-22-0213")</f>
        <v>BORAH CREEK BRIDGE  P-22-0213</v>
      </c>
      <c r="G2789" s="3" t="str">
        <f>CLEAN("DESIGN/BRIDGE REPLACEMENT")</f>
        <v>DESIGN/BRIDGE REPLACEMENT</v>
      </c>
      <c r="H2789" s="2" t="str">
        <f t="shared" si="433"/>
        <v>LOC STR</v>
      </c>
      <c r="I2789" s="2" t="str">
        <f>CLEAN("205")</f>
        <v>205</v>
      </c>
    </row>
    <row r="2790" spans="1:9" x14ac:dyDescent="0.35">
      <c r="A2790" s="2" t="str">
        <f>CLEAN("GRANT")</f>
        <v>GRANT</v>
      </c>
      <c r="B2790" s="2" t="str">
        <f>CLEAN("TOWN OF NORTH LANCASTER")</f>
        <v>TOWN OF NORTH LANCASTER</v>
      </c>
      <c r="C2790" s="2" t="s">
        <v>65</v>
      </c>
      <c r="D2790" s="2" t="str">
        <f>CLEAN("5691-00-79")</f>
        <v>5691-00-79</v>
      </c>
      <c r="E2790" s="3" t="str">
        <f>CLEAN("TOWN OF N LANCASTER  BORAH RD")</f>
        <v>TOWN OF N LANCASTER  BORAH RD</v>
      </c>
      <c r="F2790" s="3" t="str">
        <f>CLEAN("BORAH CREEK BRIDGE  B-22-0294")</f>
        <v>BORAH CREEK BRIDGE  B-22-0294</v>
      </c>
      <c r="G2790" s="3" t="str">
        <f>CLEAN("CONST OPS/BRIDGE REPLACEMENT")</f>
        <v>CONST OPS/BRIDGE REPLACEMENT</v>
      </c>
      <c r="H2790" s="2" t="str">
        <f t="shared" si="433"/>
        <v>LOC STR</v>
      </c>
      <c r="I2790" s="2" t="str">
        <f>CLEAN("205")</f>
        <v>205</v>
      </c>
    </row>
    <row r="2791" spans="1:9" x14ac:dyDescent="0.35">
      <c r="A2791" s="2" t="str">
        <f>CLEAN("RACINE")</f>
        <v>RACINE</v>
      </c>
      <c r="B2791" s="2" t="str">
        <f>CLEAN("TOWN OF NORWAY")</f>
        <v>TOWN OF NORWAY</v>
      </c>
      <c r="C2791" s="2" t="s">
        <v>738</v>
      </c>
      <c r="D2791" s="2" t="str">
        <f>CLEAN("2699-00-73")</f>
        <v>2699-00-73</v>
      </c>
      <c r="E2791" s="3" t="str">
        <f>CLEAN("T NORWAY  BURMEISTER RD")</f>
        <v>T NORWAY  BURMEISTER RD</v>
      </c>
      <c r="F2791" s="3" t="str">
        <f>CLEAN("BRITTON RD TO .7 MI W OF BRITTON RD")</f>
        <v>BRITTON RD TO .7 MI W OF BRITTON RD</v>
      </c>
      <c r="G2791" s="3" t="str">
        <f>CLEAN("CONST/RCND20")</f>
        <v>CONST/RCND20</v>
      </c>
      <c r="H2791" s="2" t="str">
        <f t="shared" si="433"/>
        <v>LOC STR</v>
      </c>
      <c r="I2791" s="2" t="str">
        <f>CLEAN("206")</f>
        <v>206</v>
      </c>
    </row>
    <row r="2792" spans="1:9" x14ac:dyDescent="0.35">
      <c r="A2792" s="2" t="str">
        <f>CLEAN("RACINE")</f>
        <v>RACINE</v>
      </c>
      <c r="B2792" s="2" t="str">
        <f>CLEAN("TOWN OF NORWAY")</f>
        <v>TOWN OF NORWAY</v>
      </c>
      <c r="C2792" s="2" t="s">
        <v>2695</v>
      </c>
      <c r="D2792" s="2" t="str">
        <f>CLEAN("2699-03-00")</f>
        <v>2699-03-00</v>
      </c>
      <c r="E2792" s="3" t="str">
        <f>CLEAN("T NORWAY  OVERSON RD")</f>
        <v>T NORWAY  OVERSON RD</v>
      </c>
      <c r="F2792" s="3" t="str">
        <f>CLEAN("GOOSE LAKE BRANCH CANAL  P51-903")</f>
        <v>GOOSE LAKE BRANCH CANAL  P51-903</v>
      </c>
      <c r="G2792" s="3" t="str">
        <f>CLEAN("PE/FULL PS&amp;E ROW/BRRPL")</f>
        <v>PE/FULL PS&amp;E ROW/BRRPL</v>
      </c>
      <c r="H2792" s="2" t="str">
        <f t="shared" si="433"/>
        <v>LOC STR</v>
      </c>
      <c r="I2792" s="2" t="str">
        <f t="shared" ref="I2792:I2798" si="434">CLEAN("205")</f>
        <v>205</v>
      </c>
    </row>
    <row r="2793" spans="1:9" x14ac:dyDescent="0.35">
      <c r="A2793" s="2" t="str">
        <f>CLEAN("PRICE")</f>
        <v>PRICE</v>
      </c>
      <c r="B2793" s="2" t="str">
        <f>CLEAN("TOWN OF OGEMA")</f>
        <v>TOWN OF OGEMA</v>
      </c>
      <c r="C2793" s="2" t="s">
        <v>1971</v>
      </c>
      <c r="D2793" s="2" t="str">
        <f>CLEAN("8724-04-01")</f>
        <v>8724-04-01</v>
      </c>
      <c r="E2793" s="3" t="str">
        <f>CLEAN("T OGEMA  LARKIN ROAD")</f>
        <v>T OGEMA  LARKIN ROAD</v>
      </c>
      <c r="F2793" s="3" t="str">
        <f>CLEAN("HOLMES CREEK BRIDGE  P-50-0914")</f>
        <v>HOLMES CREEK BRIDGE  P-50-0914</v>
      </c>
      <c r="G2793" s="3" t="str">
        <f>CLEAN("DESIGN/FULL PSE/REPLACEMENT")</f>
        <v>DESIGN/FULL PSE/REPLACEMENT</v>
      </c>
      <c r="H2793" s="2" t="str">
        <f t="shared" si="433"/>
        <v>LOC STR</v>
      </c>
      <c r="I2793" s="2" t="str">
        <f t="shared" si="434"/>
        <v>205</v>
      </c>
    </row>
    <row r="2794" spans="1:9" x14ac:dyDescent="0.35">
      <c r="A2794" s="2" t="str">
        <f>CLEAN("PRICE")</f>
        <v>PRICE</v>
      </c>
      <c r="B2794" s="2" t="str">
        <f>CLEAN("TOWN OF OGEMA")</f>
        <v>TOWN OF OGEMA</v>
      </c>
      <c r="C2794" s="2" t="s">
        <v>896</v>
      </c>
      <c r="D2794" s="2" t="str">
        <f>CLEAN("8724-04-71")</f>
        <v>8724-04-71</v>
      </c>
      <c r="E2794" s="3" t="str">
        <f>CLEAN("T OGEMA  LARKIN ROAD")</f>
        <v>T OGEMA  LARKIN ROAD</v>
      </c>
      <c r="F2794" s="3" t="str">
        <f>CLEAN("HOLMES CREEK BRIDGE  B-50-0097")</f>
        <v>HOLMES CREEK BRIDGE  B-50-0097</v>
      </c>
      <c r="G2794" s="3" t="str">
        <f>CLEAN("CONST/REPLACEMENT")</f>
        <v>CONST/REPLACEMENT</v>
      </c>
      <c r="H2794" s="2" t="str">
        <f t="shared" si="433"/>
        <v>LOC STR</v>
      </c>
      <c r="I2794" s="2" t="str">
        <f t="shared" si="434"/>
        <v>205</v>
      </c>
    </row>
    <row r="2795" spans="1:9" x14ac:dyDescent="0.35">
      <c r="A2795" s="2" t="str">
        <f>CLEAN("JUNEAU")</f>
        <v>JUNEAU</v>
      </c>
      <c r="B2795" s="2" t="str">
        <f>CLEAN("TOWN OF ORANGE")</f>
        <v>TOWN OF ORANGE</v>
      </c>
      <c r="C2795" s="2" t="s">
        <v>1796</v>
      </c>
      <c r="D2795" s="2" t="str">
        <f>CLEAN("7387-00-02")</f>
        <v>7387-00-02</v>
      </c>
      <c r="E2795" s="3" t="str">
        <f>CLEAN("T ORANGE  SCHROEDER ROAD")</f>
        <v>T ORANGE  SCHROEDER ROAD</v>
      </c>
      <c r="F2795" s="3" t="str">
        <f>CLEAN("LTL LEMONWEIR RVR BRIDGE P-29-0127")</f>
        <v>LTL LEMONWEIR RVR BRIDGE P-29-0127</v>
      </c>
      <c r="G2795" s="3" t="str">
        <f>CLEAN("DESIGN/BRIDGE REPLACEMENT")</f>
        <v>DESIGN/BRIDGE REPLACEMENT</v>
      </c>
      <c r="H2795" s="2" t="str">
        <f t="shared" si="433"/>
        <v>LOC STR</v>
      </c>
      <c r="I2795" s="2" t="str">
        <f t="shared" si="434"/>
        <v>205</v>
      </c>
    </row>
    <row r="2796" spans="1:9" x14ac:dyDescent="0.35">
      <c r="A2796" s="2" t="str">
        <f>CLEAN("JUNEAU")</f>
        <v>JUNEAU</v>
      </c>
      <c r="B2796" s="2" t="str">
        <f>CLEAN("TOWN OF ORANGE")</f>
        <v>TOWN OF ORANGE</v>
      </c>
      <c r="C2796" s="2" t="s">
        <v>453</v>
      </c>
      <c r="D2796" s="2" t="str">
        <f>CLEAN("7387-00-72")</f>
        <v>7387-00-72</v>
      </c>
      <c r="E2796" s="3" t="str">
        <f>CLEAN("T ORANGE  SCHROEDER ROAD")</f>
        <v>T ORANGE  SCHROEDER ROAD</v>
      </c>
      <c r="F2796" s="3" t="str">
        <f>CLEAN("LTL LEMONWEIR RVR BRIDGE B-29-0169")</f>
        <v>LTL LEMONWEIR RVR BRIDGE B-29-0169</v>
      </c>
      <c r="G2796" s="3" t="str">
        <f>CLEAN("CONST/BRIDGE REPLACEMENT")</f>
        <v>CONST/BRIDGE REPLACEMENT</v>
      </c>
      <c r="H2796" s="2" t="str">
        <f t="shared" si="433"/>
        <v>LOC STR</v>
      </c>
      <c r="I2796" s="2" t="str">
        <f t="shared" si="434"/>
        <v>205</v>
      </c>
    </row>
    <row r="2797" spans="1:9" x14ac:dyDescent="0.35">
      <c r="A2797" s="2" t="str">
        <f>CLEAN("ONEIDA")</f>
        <v>ONEIDA</v>
      </c>
      <c r="B2797" s="2" t="str">
        <f>CLEAN("TOWN OF PELICAN")</f>
        <v>TOWN OF PELICAN</v>
      </c>
      <c r="C2797" s="2" t="s">
        <v>1970</v>
      </c>
      <c r="D2797" s="2" t="str">
        <f>CLEAN("9877-03-01")</f>
        <v>9877-03-01</v>
      </c>
      <c r="E2797" s="3" t="str">
        <f>CLEAN("T PELICAN  HAYMEADOW ROAD")</f>
        <v>T PELICAN  HAYMEADOW ROAD</v>
      </c>
      <c r="F2797" s="3" t="str">
        <f>CLEAN("HAYMEADOW CREEK BRIDGE P-43-0058")</f>
        <v>HAYMEADOW CREEK BRIDGE P-43-0058</v>
      </c>
      <c r="G2797" s="3" t="str">
        <f>CLEAN("DESIGN/FULL PSE/REPLACEMENT")</f>
        <v>DESIGN/FULL PSE/REPLACEMENT</v>
      </c>
      <c r="H2797" s="2" t="str">
        <f t="shared" si="433"/>
        <v>LOC STR</v>
      </c>
      <c r="I2797" s="2" t="str">
        <f t="shared" si="434"/>
        <v>205</v>
      </c>
    </row>
    <row r="2798" spans="1:9" x14ac:dyDescent="0.35">
      <c r="A2798" s="2" t="str">
        <f>CLEAN("ONEIDA")</f>
        <v>ONEIDA</v>
      </c>
      <c r="B2798" s="2" t="str">
        <f>CLEAN("TOWN OF PELICAN")</f>
        <v>TOWN OF PELICAN</v>
      </c>
      <c r="C2798" s="2" t="s">
        <v>895</v>
      </c>
      <c r="D2798" s="2" t="str">
        <f>CLEAN("9877-03-71")</f>
        <v>9877-03-71</v>
      </c>
      <c r="E2798" s="3" t="str">
        <f>CLEAN("T PELICAN  HAYMEADOW ROAD")</f>
        <v>T PELICAN  HAYMEADOW ROAD</v>
      </c>
      <c r="F2798" s="3" t="str">
        <f>CLEAN("HAYMEADOW CREEK BRIDGE B-43-0070")</f>
        <v>HAYMEADOW CREEK BRIDGE B-43-0070</v>
      </c>
      <c r="G2798" s="3" t="str">
        <f>CLEAN("CONST/REPLACEMENT")</f>
        <v>CONST/REPLACEMENT</v>
      </c>
      <c r="H2798" s="2" t="str">
        <f t="shared" si="433"/>
        <v>LOC STR</v>
      </c>
      <c r="I2798" s="2" t="str">
        <f t="shared" si="434"/>
        <v>205</v>
      </c>
    </row>
    <row r="2799" spans="1:9" x14ac:dyDescent="0.35">
      <c r="A2799" s="2" t="str">
        <f>CLEAN("MARINETTE")</f>
        <v>MARINETTE</v>
      </c>
      <c r="B2799" s="2" t="str">
        <f>CLEAN("TOWN OF PEMBINE")</f>
        <v>TOWN OF PEMBINE</v>
      </c>
      <c r="C2799" s="2" t="s">
        <v>943</v>
      </c>
      <c r="D2799" s="2" t="str">
        <f>CLEAN("1491-22-71")</f>
        <v>1491-22-71</v>
      </c>
      <c r="E2799" s="3" t="str">
        <f>CLEAN("WAUSAUKEE-NIAGARA")</f>
        <v>WAUSAUKEE-NIAGARA</v>
      </c>
      <c r="F2799" s="3" t="str">
        <f>CLEAN("CTH Z-CTH R")</f>
        <v>CTH Z-CTH R</v>
      </c>
      <c r="G2799" s="3" t="str">
        <f>CLEAN("CONST/RESURF")</f>
        <v>CONST/RESURF</v>
      </c>
      <c r="H2799" s="2" t="str">
        <f>CLEAN("USH 141")</f>
        <v>USH 141</v>
      </c>
      <c r="I2799" s="2" t="str">
        <f>CLEAN("303")</f>
        <v>303</v>
      </c>
    </row>
    <row r="2800" spans="1:9" x14ac:dyDescent="0.35">
      <c r="A2800" s="2" t="str">
        <f>CLEAN("IRON")</f>
        <v>IRON</v>
      </c>
      <c r="B2800" s="2" t="str">
        <f>CLEAN("TOWN OF PENCE")</f>
        <v>TOWN OF PENCE</v>
      </c>
      <c r="C2800" s="2" t="s">
        <v>995</v>
      </c>
      <c r="D2800" s="2" t="str">
        <f>CLEAN("9250-14-71")</f>
        <v>9250-14-71</v>
      </c>
      <c r="E2800" s="3" t="str">
        <f>CLEAN("MELLEN - HURLEY")</f>
        <v>MELLEN - HURLEY</v>
      </c>
      <c r="F2800" s="3" t="str">
        <f>CLEAN("UPSON LAKE ROAD TO ODANAH ROAD")</f>
        <v>UPSON LAKE ROAD TO ODANAH ROAD</v>
      </c>
      <c r="G2800" s="3" t="str">
        <f>CLEAN("CONST/RESURFACE")</f>
        <v>CONST/RESURFACE</v>
      </c>
      <c r="H2800" s="2" t="str">
        <f>CLEAN("STH 077")</f>
        <v>STH 077</v>
      </c>
      <c r="I2800" s="2" t="str">
        <f>CLEAN("303")</f>
        <v>303</v>
      </c>
    </row>
    <row r="2801" spans="1:9" x14ac:dyDescent="0.35">
      <c r="A2801" s="2" t="str">
        <f>CLEAN("DANE")</f>
        <v>DANE</v>
      </c>
      <c r="B2801" s="2" t="str">
        <f>CLEAN("TOWN OF PERRY")</f>
        <v>TOWN OF PERRY</v>
      </c>
      <c r="C2801" s="2" t="s">
        <v>143</v>
      </c>
      <c r="D2801" s="2" t="str">
        <f>CLEAN("5728-00-73")</f>
        <v>5728-00-73</v>
      </c>
      <c r="E2801" s="3" t="str">
        <f>CLEAN("TOWN OF PERRY  DRAMMEN VALLERY RD")</f>
        <v>TOWN OF PERRY  DRAMMEN VALLERY RD</v>
      </c>
      <c r="F2801" s="3" t="str">
        <f>CLEAN("PLEASANT VALLEY BR BRIDGE B-13-0691")</f>
        <v>PLEASANT VALLEY BR BRIDGE B-13-0691</v>
      </c>
      <c r="G2801" s="3" t="str">
        <f>CLEAN("CONST OPS/BRIDGE REPLACEMNET")</f>
        <v>CONST OPS/BRIDGE REPLACEMNET</v>
      </c>
      <c r="H2801" s="2" t="str">
        <f>CLEAN("LOC STR")</f>
        <v>LOC STR</v>
      </c>
      <c r="I2801" s="2" t="str">
        <f>CLEAN("205")</f>
        <v>205</v>
      </c>
    </row>
    <row r="2802" spans="1:9" x14ac:dyDescent="0.35">
      <c r="A2802" s="2" t="str">
        <f>CLEAN("CLARK")</f>
        <v>CLARK</v>
      </c>
      <c r="B2802" s="2" t="str">
        <f>CLEAN("TOWN OF PINE VALLEY")</f>
        <v>TOWN OF PINE VALLEY</v>
      </c>
      <c r="C2802" s="2" t="s">
        <v>1067</v>
      </c>
      <c r="D2802" s="2" t="str">
        <f>CLEAN("7854-00-73")</f>
        <v>7854-00-73</v>
      </c>
      <c r="E2802" s="3" t="str">
        <f>CLEAN("T PINE VALLEY  MARSHFIELD MED CTR")</f>
        <v>T PINE VALLEY  MARSHFIELD MED CTR</v>
      </c>
      <c r="F2802" s="3" t="str">
        <f>CLEAN("USH 10/RIVER AVE INTERSECTION")</f>
        <v>USH 10/RIVER AVE INTERSECTION</v>
      </c>
      <c r="G2802" s="3" t="str">
        <f>CLEAN("CONST/TEA/INTERSECTION IMPROVEMENTS")</f>
        <v>CONST/TEA/INTERSECTION IMPROVEMENTS</v>
      </c>
      <c r="H2802" s="2" t="str">
        <f>CLEAN("LOC STR")</f>
        <v>LOC STR</v>
      </c>
      <c r="I2802" s="2" t="str">
        <f>CLEAN("209")</f>
        <v>209</v>
      </c>
    </row>
    <row r="2803" spans="1:9" x14ac:dyDescent="0.35">
      <c r="A2803" s="2" t="str">
        <f>CLEAN("VILAS")</f>
        <v>VILAS</v>
      </c>
      <c r="B2803" s="2" t="str">
        <f>CLEAN("TOWN OF PLUM LAKE")</f>
        <v>TOWN OF PLUM LAKE</v>
      </c>
      <c r="C2803" s="2" t="s">
        <v>3079</v>
      </c>
      <c r="D2803" s="2" t="str">
        <f>CLEAN("1009-44-28")</f>
        <v>1009-44-28</v>
      </c>
      <c r="E2803" s="3" t="str">
        <f>CLEAN("PLUM LAKE WALKING/BIKING STUDY")</f>
        <v>PLUM LAKE WALKING/BIKING STUDY</v>
      </c>
      <c r="F2803" s="3" t="str">
        <f>CLEAN("SAYNER AND STAR LAKE AREA")</f>
        <v>SAYNER AND STAR LAKE AREA</v>
      </c>
      <c r="G2803" s="3" t="str">
        <f>CLEAN("PLANNING STUDY")</f>
        <v>PLANNING STUDY</v>
      </c>
      <c r="H2803" s="2" t="str">
        <f>CLEAN("NON HWY")</f>
        <v>NON HWY</v>
      </c>
      <c r="I2803" s="2" t="str">
        <f>CLEAN("290")</f>
        <v>290</v>
      </c>
    </row>
    <row r="2804" spans="1:9" x14ac:dyDescent="0.35">
      <c r="A2804" s="2" t="str">
        <f>CLEAN("VILAS")</f>
        <v>VILAS</v>
      </c>
      <c r="B2804" s="2" t="str">
        <f>CLEAN("TOWN OF PLUM LAKE")</f>
        <v>TOWN OF PLUM LAKE</v>
      </c>
      <c r="C2804" s="2" t="s">
        <v>990</v>
      </c>
      <c r="D2804" s="2" t="str">
        <f>CLEAN("9205-03-60")</f>
        <v>9205-03-60</v>
      </c>
      <c r="E2804" s="3" t="str">
        <f>CLEAN("SAINT GERMAIN - SAYNER")</f>
        <v>SAINT GERMAIN - SAYNER</v>
      </c>
      <c r="F2804" s="3" t="str">
        <f>CLEAN("STH 70 TO LAKE STREET")</f>
        <v>STH 70 TO LAKE STREET</v>
      </c>
      <c r="G2804" s="3" t="str">
        <f>CLEAN("CONST/RESURFACE")</f>
        <v>CONST/RESURFACE</v>
      </c>
      <c r="H2804" s="2" t="str">
        <f>CLEAN("STH 155")</f>
        <v>STH 155</v>
      </c>
      <c r="I2804" s="2" t="str">
        <f>CLEAN("303")</f>
        <v>303</v>
      </c>
    </row>
    <row r="2805" spans="1:9" x14ac:dyDescent="0.35">
      <c r="A2805" s="2" t="str">
        <f>CLEAN("WOOD")</f>
        <v>WOOD</v>
      </c>
      <c r="B2805" s="2" t="str">
        <f>CLEAN("TOWN OF PORT EDWARDS")</f>
        <v>TOWN OF PORT EDWARDS</v>
      </c>
      <c r="C2805" s="2" t="s">
        <v>1962</v>
      </c>
      <c r="D2805" s="2" t="str">
        <f>CLEAN("6967-00-07")</f>
        <v>6967-00-07</v>
      </c>
      <c r="E2805" s="3" t="str">
        <f>CLEAN("T PORT EDWARDS  COUNTY LINE ROAD")</f>
        <v>T PORT EDWARDS  COUNTY LINE ROAD</v>
      </c>
      <c r="F2805" s="3" t="str">
        <f>CLEAN("CRANBERRY CREEK BRIDGE  P-71-0069")</f>
        <v>CRANBERRY CREEK BRIDGE  P-71-0069</v>
      </c>
      <c r="G2805" s="3" t="str">
        <f>CLEAN("DESIGN/FULL PSE/REPLACEMENT")</f>
        <v>DESIGN/FULL PSE/REPLACEMENT</v>
      </c>
      <c r="H2805" s="2" t="str">
        <f>CLEAN("LOC STR")</f>
        <v>LOC STR</v>
      </c>
      <c r="I2805" s="2" t="str">
        <f>CLEAN("205")</f>
        <v>205</v>
      </c>
    </row>
    <row r="2806" spans="1:9" x14ac:dyDescent="0.35">
      <c r="A2806" s="2" t="str">
        <f>CLEAN("BAYFIELD")</f>
        <v>BAYFIELD</v>
      </c>
      <c r="B2806" s="2" t="str">
        <f>CLEAN("TOWN OF PORT WING")</f>
        <v>TOWN OF PORT WING</v>
      </c>
      <c r="C2806" s="2" t="s">
        <v>1340</v>
      </c>
      <c r="D2806" s="2" t="str">
        <f>CLEAN("8510-02-77")</f>
        <v>8510-02-77</v>
      </c>
      <c r="E2806" s="3" t="str">
        <f>CLEAN("CORNUCOPIA - PORT WING")</f>
        <v>CORNUCOPIA - PORT WING</v>
      </c>
      <c r="F2806" s="3" t="str">
        <f>CLEAN("BARK POINT ROAD TO CTH A")</f>
        <v>BARK POINT ROAD TO CTH A</v>
      </c>
      <c r="G2806" s="3" t="str">
        <f>CLEAN("CONSTRUCTION/RESURFACE")</f>
        <v>CONSTRUCTION/RESURFACE</v>
      </c>
      <c r="H2806" s="2" t="str">
        <f>CLEAN("STH 013")</f>
        <v>STH 013</v>
      </c>
      <c r="I2806" s="2" t="str">
        <f>CLEAN("303")</f>
        <v>303</v>
      </c>
    </row>
    <row r="2807" spans="1:9" x14ac:dyDescent="0.35">
      <c r="A2807" s="2" t="str">
        <f>CLEAN("WINNEBAGO")</f>
        <v>WINNEBAGO</v>
      </c>
      <c r="B2807" s="2" t="str">
        <f>CLEAN("TOWN OF POYGAN")</f>
        <v>TOWN OF POYGAN</v>
      </c>
      <c r="C2807" s="2" t="s">
        <v>2463</v>
      </c>
      <c r="D2807" s="2" t="str">
        <f>CLEAN("6445-00-00")</f>
        <v>6445-00-00</v>
      </c>
      <c r="E2807" s="3" t="str">
        <f>CLEAN("T POYGAN  QUIGLEY ROAD")</f>
        <v>T POYGAN  QUIGLEY ROAD</v>
      </c>
      <c r="F2807" s="3" t="str">
        <f>CLEAN("LAKE POYGAN TRIBUTARY BRIDGE")</f>
        <v>LAKE POYGAN TRIBUTARY BRIDGE</v>
      </c>
      <c r="G2807" s="3" t="str">
        <f>CLEAN("DSN/FULL PSE/BRRPL P-70-0903")</f>
        <v>DSN/FULL PSE/BRRPL P-70-0903</v>
      </c>
      <c r="H2807" s="2" t="str">
        <f t="shared" ref="H2807:H2812" si="435">CLEAN("LOC STR")</f>
        <v>LOC STR</v>
      </c>
      <c r="I2807" s="2" t="str">
        <f>CLEAN("205")</f>
        <v>205</v>
      </c>
    </row>
    <row r="2808" spans="1:9" x14ac:dyDescent="0.35">
      <c r="A2808" s="2" t="str">
        <f>CLEAN("WINNEBAGO")</f>
        <v>WINNEBAGO</v>
      </c>
      <c r="B2808" s="2" t="str">
        <f>CLEAN("TOWN OF POYGAN")</f>
        <v>TOWN OF POYGAN</v>
      </c>
      <c r="C2808" s="2" t="s">
        <v>155</v>
      </c>
      <c r="D2808" s="2" t="str">
        <f>CLEAN("6445-00-01")</f>
        <v>6445-00-01</v>
      </c>
      <c r="E2808" s="3" t="str">
        <f>CLEAN("T POYGAN  QUIGLEY ROAD")</f>
        <v>T POYGAN  QUIGLEY ROAD</v>
      </c>
      <c r="F2808" s="3" t="str">
        <f>CLEAN("LAKE POYGAN TRIBUTARY BRIDGE")</f>
        <v>LAKE POYGAN TRIBUTARY BRIDGE</v>
      </c>
      <c r="G2808" s="3" t="str">
        <f>CLEAN("CONST OPS/BRRPL B-70-0330")</f>
        <v>CONST OPS/BRRPL B-70-0330</v>
      </c>
      <c r="H2808" s="2" t="str">
        <f t="shared" si="435"/>
        <v>LOC STR</v>
      </c>
      <c r="I2808" s="2" t="str">
        <f>CLEAN("205")</f>
        <v>205</v>
      </c>
    </row>
    <row r="2809" spans="1:9" x14ac:dyDescent="0.35">
      <c r="A2809" s="2" t="str">
        <f>CLEAN("CRAWFORD")</f>
        <v>CRAWFORD</v>
      </c>
      <c r="B2809" s="2" t="str">
        <f>CLEAN("TOWN OF PRAIRIE DU CHIEN")</f>
        <v>TOWN OF PRAIRIE DU CHIEN</v>
      </c>
      <c r="C2809" s="2" t="s">
        <v>2152</v>
      </c>
      <c r="D2809" s="2" t="str">
        <f>CLEAN("5335-00-00")</f>
        <v>5335-00-00</v>
      </c>
      <c r="E2809" s="3" t="str">
        <f>CLEAN("PRAIRIE DU CHIEN  IRISH RIDGE ROAD")</f>
        <v>PRAIRIE DU CHIEN  IRISH RIDGE ROAD</v>
      </c>
      <c r="F2809" s="3" t="str">
        <f>CLEAN("STH 27 TO BOUSKA ROAD")</f>
        <v>STH 27 TO BOUSKA ROAD</v>
      </c>
      <c r="G2809" s="3" t="str">
        <f>CLEAN("DESIGN/PLAN CHECK REVIEW/PVRPLA")</f>
        <v>DESIGN/PLAN CHECK REVIEW/PVRPLA</v>
      </c>
      <c r="H2809" s="2" t="str">
        <f t="shared" si="435"/>
        <v>LOC STR</v>
      </c>
      <c r="I2809" s="2" t="str">
        <f>CLEAN("206")</f>
        <v>206</v>
      </c>
    </row>
    <row r="2810" spans="1:9" x14ac:dyDescent="0.35">
      <c r="A2810" s="2" t="str">
        <f>CLEAN("PRICE")</f>
        <v>PRICE</v>
      </c>
      <c r="B2810" s="2" t="str">
        <f>CLEAN("TOWN OF PRENTICE")</f>
        <v>TOWN OF PRENTICE</v>
      </c>
      <c r="C2810" s="2" t="s">
        <v>1969</v>
      </c>
      <c r="D2810" s="2" t="str">
        <f>CLEAN("9892-04-01")</f>
        <v>9892-04-01</v>
      </c>
      <c r="E2810" s="3" t="str">
        <f>CLEAN("T PRENTICE  OLD 8 WEST")</f>
        <v>T PRENTICE  OLD 8 WEST</v>
      </c>
      <c r="F2810" s="3" t="str">
        <f>CLEAN("HAY CREEK BRIDGE  P-50-0003")</f>
        <v>HAY CREEK BRIDGE  P-50-0003</v>
      </c>
      <c r="G2810" s="3" t="str">
        <f>CLEAN("DESIGN/FULL PSE/REPLACEMENT")</f>
        <v>DESIGN/FULL PSE/REPLACEMENT</v>
      </c>
      <c r="H2810" s="2" t="str">
        <f t="shared" si="435"/>
        <v>LOC STR</v>
      </c>
      <c r="I2810" s="2" t="str">
        <f>CLEAN("205")</f>
        <v>205</v>
      </c>
    </row>
    <row r="2811" spans="1:9" x14ac:dyDescent="0.35">
      <c r="A2811" s="2" t="str">
        <f>CLEAN("DANE")</f>
        <v>DANE</v>
      </c>
      <c r="B2811" s="2" t="str">
        <f>CLEAN("TOWN OF PRIMROSE")</f>
        <v>TOWN OF PRIMROSE</v>
      </c>
      <c r="C2811" s="2" t="s">
        <v>1824</v>
      </c>
      <c r="D2811" s="2" t="str">
        <f>CLEAN("5932-00-04")</f>
        <v>5932-00-04</v>
      </c>
      <c r="E2811" s="3" t="str">
        <f>CLEAN("T PRIMROSE  LEWIS ROAD")</f>
        <v>T PRIMROSE  LEWIS ROAD</v>
      </c>
      <c r="F2811" s="3" t="str">
        <f>CLEAN("W BR SUGAR RIVER BRIDGE P-13-0944")</f>
        <v>W BR SUGAR RIVER BRIDGE P-13-0944</v>
      </c>
      <c r="G2811" s="3" t="str">
        <f>CLEAN("DESIGN/BRIDGE REPLACEMENT")</f>
        <v>DESIGN/BRIDGE REPLACEMENT</v>
      </c>
      <c r="H2811" s="2" t="str">
        <f t="shared" si="435"/>
        <v>LOC STR</v>
      </c>
      <c r="I2811" s="2" t="str">
        <f>CLEAN("205")</f>
        <v>205</v>
      </c>
    </row>
    <row r="2812" spans="1:9" x14ac:dyDescent="0.35">
      <c r="A2812" s="2" t="str">
        <f>CLEAN("DANE")</f>
        <v>DANE</v>
      </c>
      <c r="B2812" s="2" t="str">
        <f>CLEAN("TOWN OF PRIMROSE")</f>
        <v>TOWN OF PRIMROSE</v>
      </c>
      <c r="C2812" s="2" t="s">
        <v>470</v>
      </c>
      <c r="D2812" s="2" t="str">
        <f>CLEAN("5932-00-74")</f>
        <v>5932-00-74</v>
      </c>
      <c r="E2812" s="3" t="str">
        <f>CLEAN("T PRIMROSE  LEWIS ROAD")</f>
        <v>T PRIMROSE  LEWIS ROAD</v>
      </c>
      <c r="F2812" s="3" t="str">
        <f>CLEAN("W BR SUGAR RIVER BRIDGE B-13-0929")</f>
        <v>W BR SUGAR RIVER BRIDGE B-13-0929</v>
      </c>
      <c r="G2812" s="3" t="str">
        <f>CLEAN("CONST/BRIDGE REPLACEMENT")</f>
        <v>CONST/BRIDGE REPLACEMENT</v>
      </c>
      <c r="H2812" s="2" t="str">
        <f t="shared" si="435"/>
        <v>LOC STR</v>
      </c>
      <c r="I2812" s="2" t="str">
        <f>CLEAN("205")</f>
        <v>205</v>
      </c>
    </row>
    <row r="2813" spans="1:9" x14ac:dyDescent="0.35">
      <c r="A2813" s="2" t="str">
        <f>CLEAN("DUNN")</f>
        <v>DUNN</v>
      </c>
      <c r="B2813" s="2" t="str">
        <f>CLEAN("TOWN OF RED CEDAR")</f>
        <v>TOWN OF RED CEDAR</v>
      </c>
      <c r="C2813" s="2" t="s">
        <v>1658</v>
      </c>
      <c r="D2813" s="2" t="str">
        <f>CLEAN("7880-00-03")</f>
        <v>7880-00-03</v>
      </c>
      <c r="E2813" s="3" t="str">
        <f>CLEAN("T RED CEDAR  VARIOUS LOCATIONS")</f>
        <v>T RED CEDAR  VARIOUS LOCATIONS</v>
      </c>
      <c r="F2813" s="3" t="str">
        <f>CLEAN("430TH AVE TO CTH J")</f>
        <v>430TH AVE TO CTH J</v>
      </c>
      <c r="G2813" s="3" t="str">
        <f>CLEAN("DESIGN - FULL PS&amp;E/RECST")</f>
        <v>DESIGN - FULL PS&amp;E/RECST</v>
      </c>
      <c r="H2813" s="2" t="str">
        <f>CLEAN("VAR HWY")</f>
        <v>VAR HWY</v>
      </c>
      <c r="I2813" s="2" t="str">
        <f>CLEAN("206")</f>
        <v>206</v>
      </c>
    </row>
    <row r="2814" spans="1:9" x14ac:dyDescent="0.35">
      <c r="A2814" s="2" t="str">
        <f>CLEAN("WOOD")</f>
        <v>WOOD</v>
      </c>
      <c r="B2814" s="2" t="str">
        <f>CLEAN("TOWN OF REMINGTON")</f>
        <v>TOWN OF REMINGTON</v>
      </c>
      <c r="C2814" s="2" t="s">
        <v>1128</v>
      </c>
      <c r="D2814" s="2" t="str">
        <f>CLEAN("1620-02-76")</f>
        <v>1620-02-76</v>
      </c>
      <c r="E2814" s="3" t="str">
        <f>CLEAN("NECEDAH - BABCOCK")</f>
        <v>NECEDAH - BABCOCK</v>
      </c>
      <c r="F2814" s="3" t="str">
        <f>CLEAN("JUNEAU CO LINE TO STH 173 N")</f>
        <v>JUNEAU CO LINE TO STH 173 N</v>
      </c>
      <c r="G2814" s="3" t="str">
        <f>CLEAN("CONSTR/PAVEMENT REPLACEMENT")</f>
        <v>CONSTR/PAVEMENT REPLACEMENT</v>
      </c>
      <c r="H2814" s="2" t="str">
        <f>CLEAN("STH 080")</f>
        <v>STH 080</v>
      </c>
      <c r="I2814" s="2" t="str">
        <f>CLEAN("303")</f>
        <v>303</v>
      </c>
    </row>
    <row r="2815" spans="1:9" x14ac:dyDescent="0.35">
      <c r="A2815" s="2" t="str">
        <f>CLEAN("CLARK")</f>
        <v>CLARK</v>
      </c>
      <c r="B2815" s="2" t="str">
        <f>CLEAN("TOWN OF RESEBURG")</f>
        <v>TOWN OF RESEBURG</v>
      </c>
      <c r="C2815" s="2" t="s">
        <v>1836</v>
      </c>
      <c r="D2815" s="2" t="str">
        <f>CLEAN("7834-00-00")</f>
        <v>7834-00-00</v>
      </c>
      <c r="E2815" s="3" t="str">
        <f>CLEAN("T RESEBURG  BROEK ROAD")</f>
        <v>T RESEBURG  BROEK ROAD</v>
      </c>
      <c r="F2815" s="3" t="str">
        <f>CLEAN("BR S FK EAU CLAIRE RIVER BR P100917")</f>
        <v>BR S FK EAU CLAIRE RIVER BR P100917</v>
      </c>
      <c r="G2815" s="3" t="str">
        <f>CLEAN("DESIGN/BRRPL")</f>
        <v>DESIGN/BRRPL</v>
      </c>
      <c r="H2815" s="2" t="str">
        <f t="shared" ref="H2815:H2825" si="436">CLEAN("LOC STR")</f>
        <v>LOC STR</v>
      </c>
      <c r="I2815" s="2" t="str">
        <f>CLEAN("205")</f>
        <v>205</v>
      </c>
    </row>
    <row r="2816" spans="1:9" x14ac:dyDescent="0.35">
      <c r="A2816" s="2" t="str">
        <f>CLEAN("CLARK")</f>
        <v>CLARK</v>
      </c>
      <c r="B2816" s="2" t="str">
        <f>CLEAN("TOWN OF RESEBURG")</f>
        <v>TOWN OF RESEBURG</v>
      </c>
      <c r="C2816" s="2" t="s">
        <v>1235</v>
      </c>
      <c r="D2816" s="2" t="str">
        <f>CLEAN("7834-00-70")</f>
        <v>7834-00-70</v>
      </c>
      <c r="E2816" s="3" t="str">
        <f>CLEAN("T RESEBURG  BROEK ROAD")</f>
        <v>T RESEBURG  BROEK ROAD</v>
      </c>
      <c r="F2816" s="3" t="str">
        <f>CLEAN("BR S FK EAU CLAIRE RIVER BR B100390")</f>
        <v>BR S FK EAU CLAIRE RIVER BR B100390</v>
      </c>
      <c r="G2816" s="3" t="str">
        <f>CLEAN("CONSTRUCTION/BRRPL")</f>
        <v>CONSTRUCTION/BRRPL</v>
      </c>
      <c r="H2816" s="2" t="str">
        <f t="shared" si="436"/>
        <v>LOC STR</v>
      </c>
      <c r="I2816" s="2" t="str">
        <f>CLEAN("205")</f>
        <v>205</v>
      </c>
    </row>
    <row r="2817" spans="1:9" x14ac:dyDescent="0.35">
      <c r="A2817" s="2" t="str">
        <f>CLEAN("FOND DU LAC")</f>
        <v>FOND DU LAC</v>
      </c>
      <c r="B2817" s="2" t="str">
        <f>CLEAN("TOWN OF RIPON")</f>
        <v>TOWN OF RIPON</v>
      </c>
      <c r="C2817" s="2" t="s">
        <v>2369</v>
      </c>
      <c r="D2817" s="2" t="str">
        <f>CLEAN("6185-01-00")</f>
        <v>6185-01-00</v>
      </c>
      <c r="E2817" s="3" t="str">
        <f>CLEAN("T RIPON  SILVER CREEK ROAD")</f>
        <v>T RIPON  SILVER CREEK ROAD</v>
      </c>
      <c r="F2817" s="3" t="str">
        <f>CLEAN("SILVER CREEK BRIDGE")</f>
        <v>SILVER CREEK BRIDGE</v>
      </c>
      <c r="G2817" s="3" t="str">
        <f>CLEAN("DSGN/FULL PSE/BRRPL P-20-0918")</f>
        <v>DSGN/FULL PSE/BRRPL P-20-0918</v>
      </c>
      <c r="H2817" s="2" t="str">
        <f t="shared" si="436"/>
        <v>LOC STR</v>
      </c>
      <c r="I2817" s="2" t="str">
        <f>CLEAN("205")</f>
        <v>205</v>
      </c>
    </row>
    <row r="2818" spans="1:9" x14ac:dyDescent="0.35">
      <c r="A2818" s="2" t="str">
        <f>CLEAN("LANGLADE")</f>
        <v>LANGLADE</v>
      </c>
      <c r="B2818" s="2" t="str">
        <f>CLEAN("TOWN OF ROLLING")</f>
        <v>TOWN OF ROLLING</v>
      </c>
      <c r="C2818" s="2" t="s">
        <v>2003</v>
      </c>
      <c r="D2818" s="2" t="str">
        <f>CLEAN("9845-06-00")</f>
        <v>9845-06-00</v>
      </c>
      <c r="E2818" s="3" t="str">
        <f>CLEAN("T ROLLING  KOSZAREK ROAD")</f>
        <v>T ROLLING  KOSZAREK ROAD</v>
      </c>
      <c r="F2818" s="3" t="str">
        <f>CLEAN("SPRING BROOK BRIDGE  P-34-0909")</f>
        <v>SPRING BROOK BRIDGE  P-34-0909</v>
      </c>
      <c r="G2818" s="3" t="str">
        <f>CLEAN("DESIGN/FULL PSE/REPLACEMENT")</f>
        <v>DESIGN/FULL PSE/REPLACEMENT</v>
      </c>
      <c r="H2818" s="2" t="str">
        <f t="shared" si="436"/>
        <v>LOC STR</v>
      </c>
      <c r="I2818" s="2" t="str">
        <f>CLEAN("205")</f>
        <v>205</v>
      </c>
    </row>
    <row r="2819" spans="1:9" x14ac:dyDescent="0.35">
      <c r="A2819" s="2" t="str">
        <f>CLEAN("SAWYER")</f>
        <v>SAWYER</v>
      </c>
      <c r="B2819" s="2" t="str">
        <f>CLEAN("TOWN OF ROUND LAKE")</f>
        <v>TOWN OF ROUND LAKE</v>
      </c>
      <c r="C2819" s="2" t="s">
        <v>1626</v>
      </c>
      <c r="D2819" s="2" t="str">
        <f>CLEAN("8457-00-01")</f>
        <v>8457-00-01</v>
      </c>
      <c r="E2819" s="3" t="str">
        <f>CLEAN("T ROUND LAKE  MOOSE LAKE RD")</f>
        <v>T ROUND LAKE  MOOSE LAKE RD</v>
      </c>
      <c r="F2819" s="3" t="str">
        <f>CLEAN("CTH A TO FEDERAL FOREST RD 320")</f>
        <v>CTH A TO FEDERAL FOREST RD 320</v>
      </c>
      <c r="G2819" s="3" t="str">
        <f>CLEAN("DESIGN - FULL PS&amp;E/PVRPLA")</f>
        <v>DESIGN - FULL PS&amp;E/PVRPLA</v>
      </c>
      <c r="H2819" s="2" t="str">
        <f t="shared" si="436"/>
        <v>LOC STR</v>
      </c>
      <c r="I2819" s="2" t="str">
        <f>CLEAN("206")</f>
        <v>206</v>
      </c>
    </row>
    <row r="2820" spans="1:9" x14ac:dyDescent="0.35">
      <c r="A2820" s="2" t="str">
        <f>CLEAN("WAUPACA")</f>
        <v>WAUPACA</v>
      </c>
      <c r="B2820" s="2" t="str">
        <f>CLEAN("TOWN OF ROYALTON")</f>
        <v>TOWN OF ROYALTON</v>
      </c>
      <c r="C2820" s="2" t="s">
        <v>1997</v>
      </c>
      <c r="D2820" s="2" t="str">
        <f>CLEAN("6899-00-02")</f>
        <v>6899-00-02</v>
      </c>
      <c r="E2820" s="3" t="str">
        <f>CLEAN("T ROYALTON  BIGALKE ROAD")</f>
        <v>T ROYALTON  BIGALKE ROAD</v>
      </c>
      <c r="F2820" s="3" t="str">
        <f>CLEAN("S BR LITTLE WOLF RVR BRIDGE P680090")</f>
        <v>S BR LITTLE WOLF RVR BRIDGE P680090</v>
      </c>
      <c r="G2820" s="3" t="str">
        <f>CLEAN("DESIGN/FULL PSE/REPLACEMENT")</f>
        <v>DESIGN/FULL PSE/REPLACEMENT</v>
      </c>
      <c r="H2820" s="2" t="str">
        <f t="shared" si="436"/>
        <v>LOC STR</v>
      </c>
      <c r="I2820" s="2" t="str">
        <f t="shared" ref="I2820:I2825" si="437">CLEAN("205")</f>
        <v>205</v>
      </c>
    </row>
    <row r="2821" spans="1:9" x14ac:dyDescent="0.35">
      <c r="A2821" s="2" t="str">
        <f>CLEAN("WAUPACA")</f>
        <v>WAUPACA</v>
      </c>
      <c r="B2821" s="2" t="str">
        <f>CLEAN("TOWN OF ROYALTON")</f>
        <v>TOWN OF ROYALTON</v>
      </c>
      <c r="C2821" s="2" t="s">
        <v>925</v>
      </c>
      <c r="D2821" s="2" t="str">
        <f>CLEAN("6899-00-72")</f>
        <v>6899-00-72</v>
      </c>
      <c r="E2821" s="3" t="str">
        <f>CLEAN("T ROYALTON  BIGALKE ROAD")</f>
        <v>T ROYALTON  BIGALKE ROAD</v>
      </c>
      <c r="F2821" s="3" t="str">
        <f>CLEAN("S BR LITTLE WOLF RVR BRIDGE P680090")</f>
        <v>S BR LITTLE WOLF RVR BRIDGE P680090</v>
      </c>
      <c r="G2821" s="3" t="str">
        <f>CLEAN("CONST/REPLACEMENT")</f>
        <v>CONST/REPLACEMENT</v>
      </c>
      <c r="H2821" s="2" t="str">
        <f t="shared" si="436"/>
        <v>LOC STR</v>
      </c>
      <c r="I2821" s="2" t="str">
        <f t="shared" si="437"/>
        <v>205</v>
      </c>
    </row>
    <row r="2822" spans="1:9" x14ac:dyDescent="0.35">
      <c r="A2822" s="2" t="str">
        <f>CLEAN("LINCOLN")</f>
        <v>LINCOLN</v>
      </c>
      <c r="B2822" s="2" t="str">
        <f>CLEAN("TOWN OF RUSSELL")</f>
        <v>TOWN OF RUSSELL</v>
      </c>
      <c r="C2822" s="2" t="s">
        <v>1952</v>
      </c>
      <c r="D2822" s="2" t="str">
        <f>CLEAN("9859-00-00")</f>
        <v>9859-00-00</v>
      </c>
      <c r="E2822" s="3" t="str">
        <f>CLEAN("T RUSSELL  1ST AVENUE")</f>
        <v>T RUSSELL  1ST AVENUE</v>
      </c>
      <c r="F2822" s="3" t="str">
        <f>CLEAN("BIG HAY MEADOW CREEK  P-35-0074")</f>
        <v>BIG HAY MEADOW CREEK  P-35-0074</v>
      </c>
      <c r="G2822" s="3" t="str">
        <f>CLEAN("DESIGN/FULL PSE/REPLACEMENT")</f>
        <v>DESIGN/FULL PSE/REPLACEMENT</v>
      </c>
      <c r="H2822" s="2" t="str">
        <f t="shared" si="436"/>
        <v>LOC STR</v>
      </c>
      <c r="I2822" s="2" t="str">
        <f t="shared" si="437"/>
        <v>205</v>
      </c>
    </row>
    <row r="2823" spans="1:9" x14ac:dyDescent="0.35">
      <c r="A2823" s="2" t="str">
        <f>CLEAN("DANE")</f>
        <v>DANE</v>
      </c>
      <c r="B2823" s="2" t="str">
        <f>CLEAN("TOWN OF RUTLAND")</f>
        <v>TOWN OF RUTLAND</v>
      </c>
      <c r="C2823" s="2" t="s">
        <v>1745</v>
      </c>
      <c r="D2823" s="2" t="str">
        <f>CLEAN("5742-00-02")</f>
        <v>5742-00-02</v>
      </c>
      <c r="E2823" s="3" t="str">
        <f>CLEAN("T OF RUTLAND  LAKE KEGONSA ROAD")</f>
        <v>T OF RUTLAND  LAKE KEGONSA ROAD</v>
      </c>
      <c r="F2823" s="3" t="str">
        <f>CLEAN("BADFISH CREEK BRIDGE  B-13-0679")</f>
        <v>BADFISH CREEK BRIDGE  B-13-0679</v>
      </c>
      <c r="G2823" s="3" t="str">
        <f>CLEAN("DESIGN/BRIDGE REPLACEMENT")</f>
        <v>DESIGN/BRIDGE REPLACEMENT</v>
      </c>
      <c r="H2823" s="2" t="str">
        <f t="shared" si="436"/>
        <v>LOC STR</v>
      </c>
      <c r="I2823" s="2" t="str">
        <f t="shared" si="437"/>
        <v>205</v>
      </c>
    </row>
    <row r="2824" spans="1:9" x14ac:dyDescent="0.35">
      <c r="A2824" s="2" t="str">
        <f>CLEAN("DANE")</f>
        <v>DANE</v>
      </c>
      <c r="B2824" s="2" t="str">
        <f>CLEAN("TOWN OF RUTLAND")</f>
        <v>TOWN OF RUTLAND</v>
      </c>
      <c r="C2824" s="2" t="s">
        <v>399</v>
      </c>
      <c r="D2824" s="2" t="str">
        <f>CLEAN("5742-00-72")</f>
        <v>5742-00-72</v>
      </c>
      <c r="E2824" s="3" t="str">
        <f>CLEAN("T OF RUTLAND  LAKE KEGONSA ROAD")</f>
        <v>T OF RUTLAND  LAKE KEGONSA ROAD</v>
      </c>
      <c r="F2824" s="3" t="str">
        <f>CLEAN("BADFISH CREEK BRIDGE  B-13-0885")</f>
        <v>BADFISH CREEK BRIDGE  B-13-0885</v>
      </c>
      <c r="G2824" s="3" t="str">
        <f>CLEAN("CONST/BRIDGE REPLACEMENT")</f>
        <v>CONST/BRIDGE REPLACEMENT</v>
      </c>
      <c r="H2824" s="2" t="str">
        <f t="shared" si="436"/>
        <v>LOC STR</v>
      </c>
      <c r="I2824" s="2" t="str">
        <f t="shared" si="437"/>
        <v>205</v>
      </c>
    </row>
    <row r="2825" spans="1:9" x14ac:dyDescent="0.35">
      <c r="A2825" s="2" t="str">
        <f>CLEAN("OZAUKEE")</f>
        <v>OZAUKEE</v>
      </c>
      <c r="B2825" s="2" t="str">
        <f>CLEAN("TOWN OF SAUKVILLE")</f>
        <v>TOWN OF SAUKVILLE</v>
      </c>
      <c r="C2825" s="2" t="s">
        <v>2727</v>
      </c>
      <c r="D2825" s="2" t="str">
        <f>CLEAN("4821-03-00")</f>
        <v>4821-03-00</v>
      </c>
      <c r="E2825" s="3" t="str">
        <f>CLEAN("T SAUKVILLE  CEDAR SAUK RD")</f>
        <v>T SAUKVILLE  CEDAR SAUK RD</v>
      </c>
      <c r="F2825" s="3" t="str">
        <f>CLEAN("BRANCH MILWAUKEE RIVER P45-0907")</f>
        <v>BRANCH MILWAUKEE RIVER P45-0907</v>
      </c>
      <c r="G2825" s="3" t="str">
        <f>CLEAN("PE/FULL PS&amp;E/BRRPL")</f>
        <v>PE/FULL PS&amp;E/BRRPL</v>
      </c>
      <c r="H2825" s="2" t="str">
        <f t="shared" si="436"/>
        <v>LOC STR</v>
      </c>
      <c r="I2825" s="2" t="str">
        <f t="shared" si="437"/>
        <v>205</v>
      </c>
    </row>
    <row r="2826" spans="1:9" x14ac:dyDescent="0.35">
      <c r="A2826" s="2" t="str">
        <f>CLEAN("BROWN")</f>
        <v>BROWN</v>
      </c>
      <c r="B2826" s="2" t="str">
        <f>CLEAN("TOWN OF SCOTT")</f>
        <v>TOWN OF SCOTT</v>
      </c>
      <c r="C2826" s="2" t="s">
        <v>2433</v>
      </c>
      <c r="D2826" s="2" t="str">
        <f>CLEAN("4507-03-00")</f>
        <v>4507-03-00</v>
      </c>
      <c r="E2826" s="3" t="str">
        <f>CLEAN("T SCOTT  BAY SETTLEMENT TRAIL")</f>
        <v>T SCOTT  BAY SETTLEMENT TRAIL</v>
      </c>
      <c r="F2826" s="3" t="str">
        <f>CLEAN("CHAMPION RD - FISCHER RD")</f>
        <v>CHAMPION RD - FISCHER RD</v>
      </c>
      <c r="G2826" s="3" t="str">
        <f>CLEAN("DSGN/MISC BIKE/PED TRAIL")</f>
        <v>DSGN/MISC BIKE/PED TRAIL</v>
      </c>
      <c r="H2826" s="2" t="str">
        <f>CLEAN("NON HWY")</f>
        <v>NON HWY</v>
      </c>
      <c r="I2826" s="2" t="str">
        <f>CLEAN("290")</f>
        <v>290</v>
      </c>
    </row>
    <row r="2827" spans="1:9" x14ac:dyDescent="0.35">
      <c r="A2827" s="2" t="str">
        <f>CLEAN("BROWN")</f>
        <v>BROWN</v>
      </c>
      <c r="B2827" s="2" t="str">
        <f>CLEAN("TOWN OF SCOTT")</f>
        <v>TOWN OF SCOTT</v>
      </c>
      <c r="C2827" s="2" t="s">
        <v>177</v>
      </c>
      <c r="D2827" s="2" t="str">
        <f>CLEAN("4507-03-70")</f>
        <v>4507-03-70</v>
      </c>
      <c r="E2827" s="3" t="str">
        <f>CLEAN("T SCOTT  BAY SETTLEMENT TRAIL")</f>
        <v>T SCOTT  BAY SETTLEMENT TRAIL</v>
      </c>
      <c r="F2827" s="3" t="str">
        <f>CLEAN("CHAMPION RD - FISCHER RD")</f>
        <v>CHAMPION RD - FISCHER RD</v>
      </c>
      <c r="G2827" s="3" t="str">
        <f>CLEAN("CONST OPS/MISC BIKE/PED TRAIL")</f>
        <v>CONST OPS/MISC BIKE/PED TRAIL</v>
      </c>
      <c r="H2827" s="2" t="str">
        <f>CLEAN("NON HWY")</f>
        <v>NON HWY</v>
      </c>
      <c r="I2827" s="2" t="str">
        <f>CLEAN("290")</f>
        <v>290</v>
      </c>
    </row>
    <row r="2828" spans="1:9" x14ac:dyDescent="0.35">
      <c r="A2828" s="2" t="str">
        <f>CLEAN("SHAWANO")</f>
        <v>SHAWANO</v>
      </c>
      <c r="B2828" s="2" t="str">
        <f>CLEAN("TOWN OF SENECA")</f>
        <v>TOWN OF SENECA</v>
      </c>
      <c r="C2828" s="2" t="s">
        <v>1984</v>
      </c>
      <c r="D2828" s="2" t="str">
        <f>CLEAN("9302-00-00")</f>
        <v>9302-00-00</v>
      </c>
      <c r="E2828" s="3" t="str">
        <f>CLEAN("T SENECA  SCHOOL HOUSE ROAD")</f>
        <v>T SENECA  SCHOOL HOUSE ROAD</v>
      </c>
      <c r="F2828" s="3" t="str">
        <f>CLEAN("N BRANCH EMBARRASS RIVER  P-58-0089")</f>
        <v>N BRANCH EMBARRASS RIVER  P-58-0089</v>
      </c>
      <c r="G2828" s="3" t="str">
        <f>CLEAN("DESIGN/FULL PSE/REPLACEMENT")</f>
        <v>DESIGN/FULL PSE/REPLACEMENT</v>
      </c>
      <c r="H2828" s="2" t="str">
        <f>CLEAN("LOC STR")</f>
        <v>LOC STR</v>
      </c>
      <c r="I2828" s="2" t="str">
        <f>CLEAN("205")</f>
        <v>205</v>
      </c>
    </row>
    <row r="2829" spans="1:9" x14ac:dyDescent="0.35">
      <c r="A2829" s="2" t="str">
        <f>CLEAN("SHAWANO")</f>
        <v>SHAWANO</v>
      </c>
      <c r="B2829" s="2" t="str">
        <f>CLEAN("TOWN OF SENECA")</f>
        <v>TOWN OF SENECA</v>
      </c>
      <c r="C2829" s="2" t="s">
        <v>912</v>
      </c>
      <c r="D2829" s="2" t="str">
        <f>CLEAN("9302-00-70")</f>
        <v>9302-00-70</v>
      </c>
      <c r="E2829" s="3" t="str">
        <f>CLEAN("T SENECA  SCHOOL HOUSE ROAD")</f>
        <v>T SENECA  SCHOOL HOUSE ROAD</v>
      </c>
      <c r="F2829" s="3" t="str">
        <f>CLEAN("N BRANCH EMBARRASS RIVER  B-58-0138")</f>
        <v>N BRANCH EMBARRASS RIVER  B-58-0138</v>
      </c>
      <c r="G2829" s="3" t="str">
        <f>CLEAN("CONST/REPLACEMENT")</f>
        <v>CONST/REPLACEMENT</v>
      </c>
      <c r="H2829" s="2" t="str">
        <f>CLEAN("LOC STR")</f>
        <v>LOC STR</v>
      </c>
      <c r="I2829" s="2" t="str">
        <f>CLEAN("205")</f>
        <v>205</v>
      </c>
    </row>
    <row r="2830" spans="1:9" x14ac:dyDescent="0.35">
      <c r="A2830" s="2" t="str">
        <f>CLEAN("WALWORTH")</f>
        <v>WALWORTH</v>
      </c>
      <c r="B2830" s="2" t="str">
        <f>CLEAN("TOWN OF SHARON")</f>
        <v>TOWN OF SHARON</v>
      </c>
      <c r="C2830" s="2" t="s">
        <v>2697</v>
      </c>
      <c r="D2830" s="2" t="str">
        <f>CLEAN("3838-05-01")</f>
        <v>3838-05-01</v>
      </c>
      <c r="E2830" s="3" t="str">
        <f>CLEAN("T SHARON  PETERS RD")</f>
        <v>T SHARON  PETERS RD</v>
      </c>
      <c r="F2830" s="3" t="str">
        <f>CLEAN("LITTLE TURTLE CREEK BRIDGE B64-12")</f>
        <v>LITTLE TURTLE CREEK BRIDGE B64-12</v>
      </c>
      <c r="G2830" s="3" t="str">
        <f>CLEAN("PE/FULL PS&amp;E ROW/BRRPL")</f>
        <v>PE/FULL PS&amp;E ROW/BRRPL</v>
      </c>
      <c r="H2830" s="2" t="str">
        <f>CLEAN("LOC STR")</f>
        <v>LOC STR</v>
      </c>
      <c r="I2830" s="2" t="str">
        <f>CLEAN("205")</f>
        <v>205</v>
      </c>
    </row>
    <row r="2831" spans="1:9" x14ac:dyDescent="0.35">
      <c r="A2831" s="2" t="str">
        <f>CLEAN("WALWORTH")</f>
        <v>WALWORTH</v>
      </c>
      <c r="B2831" s="2" t="str">
        <f>CLEAN("TOWN OF SHARON")</f>
        <v>TOWN OF SHARON</v>
      </c>
      <c r="C2831" s="2" t="s">
        <v>2703</v>
      </c>
      <c r="D2831" s="2" t="str">
        <f>CLEAN("3838-06-00")</f>
        <v>3838-06-00</v>
      </c>
      <c r="E2831" s="3" t="str">
        <f>CLEAN("T SHARON  PETERS RD")</f>
        <v>T SHARON  PETERS RD</v>
      </c>
      <c r="F2831" s="3" t="str">
        <f>CLEAN("WIS SOUTHERN RR BRIDGE  P64-38")</f>
        <v>WIS SOUTHERN RR BRIDGE  P64-38</v>
      </c>
      <c r="G2831" s="3" t="str">
        <f>CLEAN("PE/FULL PS&amp;E ROW/BRRPL")</f>
        <v>PE/FULL PS&amp;E ROW/BRRPL</v>
      </c>
      <c r="H2831" s="2" t="str">
        <f>CLEAN("LOC STR")</f>
        <v>LOC STR</v>
      </c>
      <c r="I2831" s="2" t="str">
        <f>CLEAN("205")</f>
        <v>205</v>
      </c>
    </row>
    <row r="2832" spans="1:9" x14ac:dyDescent="0.35">
      <c r="A2832" s="2" t="str">
        <f>CLEAN("LA CROSSE")</f>
        <v>LA CROSSE</v>
      </c>
      <c r="B2832" s="2" t="str">
        <f>CLEAN("TOWN OF SHELBY")</f>
        <v>TOWN OF SHELBY</v>
      </c>
      <c r="C2832" s="2" t="s">
        <v>2921</v>
      </c>
      <c r="D2832" s="2" t="str">
        <f>CLEAN("5991-06-03")</f>
        <v>5991-06-03</v>
      </c>
      <c r="E2832" s="3" t="str">
        <f>CLEAN("T SHELBY  GOOSE ISLAND TRAIL")</f>
        <v>T SHELBY  GOOSE ISLAND TRAIL</v>
      </c>
      <c r="F2832" s="3" t="str">
        <f>CLEAN("CTH GI TO SUNNYSIDE DRIVE")</f>
        <v>CTH GI TO SUNNYSIDE DRIVE</v>
      </c>
      <c r="G2832" s="3" t="str">
        <f>CLEAN("PE/PL CHECK MULTI-USE PATH")</f>
        <v>PE/PL CHECK MULTI-USE PATH</v>
      </c>
      <c r="H2832" s="2" t="str">
        <f>CLEAN("NON HWY")</f>
        <v>NON HWY</v>
      </c>
      <c r="I2832" s="2" t="str">
        <f>CLEAN("290")</f>
        <v>290</v>
      </c>
    </row>
    <row r="2833" spans="1:9" x14ac:dyDescent="0.35">
      <c r="A2833" s="2" t="str">
        <f>CLEAN("LA CROSSE")</f>
        <v>LA CROSSE</v>
      </c>
      <c r="B2833" s="2" t="str">
        <f>CLEAN("TOWN OF SHELBY")</f>
        <v>TOWN OF SHELBY</v>
      </c>
      <c r="C2833" s="2" t="s">
        <v>2062</v>
      </c>
      <c r="D2833" s="2" t="str">
        <f>CLEAN("1640-00-03")</f>
        <v>1640-00-03</v>
      </c>
      <c r="E2833" s="3" t="str">
        <f>CLEAN("T SHELBY  SIDEWALK")</f>
        <v>T SHELBY  SIDEWALK</v>
      </c>
      <c r="F2833" s="3" t="str">
        <f>CLEAN("US 14/61 - BRICKYARD LANE")</f>
        <v>US 14/61 - BRICKYARD LANE</v>
      </c>
      <c r="G2833" s="3" t="str">
        <f>CLEAN("DESIGN/PLAN CHECK REVIEW")</f>
        <v>DESIGN/PLAN CHECK REVIEW</v>
      </c>
      <c r="H2833" s="2" t="str">
        <f>CLEAN("NON HWY")</f>
        <v>NON HWY</v>
      </c>
      <c r="I2833" s="2" t="str">
        <f>CLEAN("290")</f>
        <v>290</v>
      </c>
    </row>
    <row r="2834" spans="1:9" x14ac:dyDescent="0.35">
      <c r="A2834" s="2" t="str">
        <f>CLEAN("LA CROSSE")</f>
        <v>LA CROSSE</v>
      </c>
      <c r="B2834" s="2" t="str">
        <f>CLEAN("TOWN OF SHELBY")</f>
        <v>TOWN OF SHELBY</v>
      </c>
      <c r="C2834" s="2" t="s">
        <v>314</v>
      </c>
      <c r="D2834" s="2" t="str">
        <f>CLEAN("1640-00-73")</f>
        <v>1640-00-73</v>
      </c>
      <c r="E2834" s="3" t="str">
        <f>CLEAN("T SHELBY  SIDEWALK")</f>
        <v>T SHELBY  SIDEWALK</v>
      </c>
      <c r="F2834" s="3" t="str">
        <f>CLEAN("US 14/61 - BRICKYARD LANE")</f>
        <v>US 14/61 - BRICKYARD LANE</v>
      </c>
      <c r="G2834" s="3" t="str">
        <f>CLEAN("CONST OPS/SIDEWALLK")</f>
        <v>CONST OPS/SIDEWALLK</v>
      </c>
      <c r="H2834" s="2" t="str">
        <f>CLEAN("NON HWY")</f>
        <v>NON HWY</v>
      </c>
      <c r="I2834" s="2" t="str">
        <f>CLEAN("290")</f>
        <v>290</v>
      </c>
    </row>
    <row r="2835" spans="1:9" x14ac:dyDescent="0.35">
      <c r="A2835" s="2" t="str">
        <f>CLEAN("LA CROSSE")</f>
        <v>LA CROSSE</v>
      </c>
      <c r="B2835" s="2" t="str">
        <f>CLEAN("TOWN OF SHELBY")</f>
        <v>TOWN OF SHELBY</v>
      </c>
      <c r="C2835" s="2" t="s">
        <v>3031</v>
      </c>
      <c r="D2835" s="2" t="str">
        <f>CLEAN("5991-06-73")</f>
        <v>5991-06-73</v>
      </c>
      <c r="E2835" s="3" t="str">
        <f>CLEAN("T SHELBY  GOOSE ISLAND TRAIL")</f>
        <v>T SHELBY  GOOSE ISLAND TRAIL</v>
      </c>
      <c r="F2835" s="3" t="str">
        <f>CLEAN("CTH GI TO SUNNYSIDE DRIVE")</f>
        <v>CTH GI TO SUNNYSIDE DRIVE</v>
      </c>
      <c r="G2835" s="3" t="str">
        <f>CLEAN("PEDESTRAIN/BICYCLE MULTI-USE PATH")</f>
        <v>PEDESTRAIN/BICYCLE MULTI-USE PATH</v>
      </c>
      <c r="H2835" s="2" t="str">
        <f>CLEAN("NON HWY")</f>
        <v>NON HWY</v>
      </c>
      <c r="I2835" s="2" t="str">
        <f>CLEAN("290")</f>
        <v>290</v>
      </c>
    </row>
    <row r="2836" spans="1:9" x14ac:dyDescent="0.35">
      <c r="A2836" s="2" t="str">
        <f>CLEAN("MONROE")</f>
        <v>MONROE</v>
      </c>
      <c r="B2836" s="2" t="str">
        <f>CLEAN("TOWN OF SHELDON")</f>
        <v>TOWN OF SHELDON</v>
      </c>
      <c r="C2836" s="2" t="s">
        <v>1776</v>
      </c>
      <c r="D2836" s="2" t="str">
        <f>CLEAN("5018-00-02")</f>
        <v>5018-00-02</v>
      </c>
      <c r="E2836" s="3" t="str">
        <f>CLEAN("T SHELDON  NORDALE AVENUE")</f>
        <v>T SHELDON  NORDALE AVENUE</v>
      </c>
      <c r="F2836" s="3" t="str">
        <f>CLEAN("E BR KICKAPOO RVR BRIDGE  B-41-0901")</f>
        <v>E BR KICKAPOO RVR BRIDGE  B-41-0901</v>
      </c>
      <c r="G2836" s="3" t="str">
        <f>CLEAN("DESIGN/BRIDGE REPLACEMENT")</f>
        <v>DESIGN/BRIDGE REPLACEMENT</v>
      </c>
      <c r="H2836" s="2" t="str">
        <f t="shared" ref="H2836:H2841" si="438">CLEAN("LOC STR")</f>
        <v>LOC STR</v>
      </c>
      <c r="I2836" s="2" t="str">
        <f>CLEAN("205")</f>
        <v>205</v>
      </c>
    </row>
    <row r="2837" spans="1:9" x14ac:dyDescent="0.35">
      <c r="A2837" s="2" t="str">
        <f>CLEAN("ST. CROIX")</f>
        <v>ST. CROIX</v>
      </c>
      <c r="B2837" s="2" t="str">
        <f>CLEAN("TOWN OF SOMERSET")</f>
        <v>TOWN OF SOMERSET</v>
      </c>
      <c r="C2837" s="2" t="s">
        <v>1546</v>
      </c>
      <c r="D2837" s="2" t="str">
        <f>CLEAN("8938-00-00")</f>
        <v>8938-00-00</v>
      </c>
      <c r="E2837" s="3" t="str">
        <f>CLEAN("T SOMERSET  60TH STREET")</f>
        <v>T SOMERSET  60TH STREET</v>
      </c>
      <c r="F2837" s="3" t="str">
        <f>CLEAN("CTH I TO TERMINUS")</f>
        <v>CTH I TO TERMINUS</v>
      </c>
      <c r="G2837" s="3" t="str">
        <f>CLEAN("DESIGN - FULL PS&amp;E RESURFACE")</f>
        <v>DESIGN - FULL PS&amp;E RESURFACE</v>
      </c>
      <c r="H2837" s="2" t="str">
        <f t="shared" si="438"/>
        <v>LOC STR</v>
      </c>
      <c r="I2837" s="2" t="str">
        <f>CLEAN("206")</f>
        <v>206</v>
      </c>
    </row>
    <row r="2838" spans="1:9" x14ac:dyDescent="0.35">
      <c r="A2838" s="2" t="str">
        <f>CLEAN("ST. CROIX")</f>
        <v>ST. CROIX</v>
      </c>
      <c r="B2838" s="2" t="str">
        <f>CLEAN("TOWN OF SOMERSET")</f>
        <v>TOWN OF SOMERSET</v>
      </c>
      <c r="C2838" s="2" t="s">
        <v>1345</v>
      </c>
      <c r="D2838" s="2" t="str">
        <f>CLEAN("8938-00-70")</f>
        <v>8938-00-70</v>
      </c>
      <c r="E2838" s="3" t="str">
        <f>CLEAN("T SOMERSET  60TH STREET")</f>
        <v>T SOMERSET  60TH STREET</v>
      </c>
      <c r="F2838" s="3" t="str">
        <f>CLEAN("CTH I TO TERMINUS")</f>
        <v>CTH I TO TERMINUS</v>
      </c>
      <c r="G2838" s="3" t="str">
        <f>CLEAN("CONSTRUCTION/RESURFACE")</f>
        <v>CONSTRUCTION/RESURFACE</v>
      </c>
      <c r="H2838" s="2" t="str">
        <f t="shared" si="438"/>
        <v>LOC STR</v>
      </c>
      <c r="I2838" s="2" t="str">
        <f>CLEAN("206")</f>
        <v>206</v>
      </c>
    </row>
    <row r="2839" spans="1:9" x14ac:dyDescent="0.35">
      <c r="A2839" s="2" t="str">
        <f>CLEAN("MONROE")</f>
        <v>MONROE</v>
      </c>
      <c r="B2839" s="2" t="str">
        <f>CLEAN("TOWN OF SPARTA")</f>
        <v>TOWN OF SPARTA</v>
      </c>
      <c r="C2839" s="2" t="s">
        <v>1485</v>
      </c>
      <c r="D2839" s="2" t="str">
        <f>CLEAN("5019-00-01")</f>
        <v>5019-00-01</v>
      </c>
      <c r="E2839" s="3" t="str">
        <f>CLEAN("T SPARTA  FAIRMONT AVENUE")</f>
        <v>T SPARTA  FAIRMONT AVENUE</v>
      </c>
      <c r="F2839" s="3" t="str">
        <f>CLEAN("UPPER BIG CREEK BRIDGE P-41-0924")</f>
        <v>UPPER BIG CREEK BRIDGE P-41-0924</v>
      </c>
      <c r="G2839" s="3" t="str">
        <f>CLEAN("DESIGN - FULL PS&amp;E BRRPL")</f>
        <v>DESIGN - FULL PS&amp;E BRRPL</v>
      </c>
      <c r="H2839" s="2" t="str">
        <f t="shared" si="438"/>
        <v>LOC STR</v>
      </c>
      <c r="I2839" s="2" t="str">
        <f>CLEAN("205")</f>
        <v>205</v>
      </c>
    </row>
    <row r="2840" spans="1:9" x14ac:dyDescent="0.35">
      <c r="A2840" s="2" t="str">
        <f>CLEAN("MARATHON")</f>
        <v>MARATHON</v>
      </c>
      <c r="B2840" s="2" t="str">
        <f>CLEAN("TOWN OF SPENCER")</f>
        <v>TOWN OF SPENCER</v>
      </c>
      <c r="C2840" s="2" t="s">
        <v>1963</v>
      </c>
      <c r="D2840" s="2" t="str">
        <f>CLEAN("6685-03-02")</f>
        <v>6685-03-02</v>
      </c>
      <c r="E2840" s="3" t="str">
        <f>CLEAN("T SPENCER  PLEASANT ROAD")</f>
        <v>T SPENCER  PLEASANT ROAD</v>
      </c>
      <c r="F2840" s="3" t="str">
        <f>CLEAN("E BR YELLOW RIVER BRIDGE P-37-0916")</f>
        <v>E BR YELLOW RIVER BRIDGE P-37-0916</v>
      </c>
      <c r="G2840" s="3" t="str">
        <f>CLEAN("DESIGN/FULL PSE/REPLACEMENT")</f>
        <v>DESIGN/FULL PSE/REPLACEMENT</v>
      </c>
      <c r="H2840" s="2" t="str">
        <f t="shared" si="438"/>
        <v>LOC STR</v>
      </c>
      <c r="I2840" s="2" t="str">
        <f>CLEAN("205")</f>
        <v>205</v>
      </c>
    </row>
    <row r="2841" spans="1:9" x14ac:dyDescent="0.35">
      <c r="A2841" s="2" t="str">
        <f>CLEAN("MARATHON")</f>
        <v>MARATHON</v>
      </c>
      <c r="B2841" s="2" t="str">
        <f>CLEAN("TOWN OF SPENCER")</f>
        <v>TOWN OF SPENCER</v>
      </c>
      <c r="C2841" s="2" t="s">
        <v>889</v>
      </c>
      <c r="D2841" s="2" t="str">
        <f>CLEAN("6685-03-72")</f>
        <v>6685-03-72</v>
      </c>
      <c r="E2841" s="3" t="str">
        <f>CLEAN("T SPENCER  PLEASANT ROAD")</f>
        <v>T SPENCER  PLEASANT ROAD</v>
      </c>
      <c r="F2841" s="3" t="str">
        <f>CLEAN("E BR YELLOW RIVER BRIDGE B-37-0477")</f>
        <v>E BR YELLOW RIVER BRIDGE B-37-0477</v>
      </c>
      <c r="G2841" s="3" t="str">
        <f>CLEAN("CONST/REPLACEMENT")</f>
        <v>CONST/REPLACEMENT</v>
      </c>
      <c r="H2841" s="2" t="str">
        <f t="shared" si="438"/>
        <v>LOC STR</v>
      </c>
      <c r="I2841" s="2" t="str">
        <f>CLEAN("205")</f>
        <v>205</v>
      </c>
    </row>
    <row r="2842" spans="1:9" x14ac:dyDescent="0.35">
      <c r="A2842" s="2" t="str">
        <f>CLEAN("SAUK")</f>
        <v>SAUK</v>
      </c>
      <c r="B2842" s="2" t="str">
        <f>CLEAN("TOWN OF SPRING GREEN")</f>
        <v>TOWN OF SPRING GREEN</v>
      </c>
      <c r="C2842" s="2" t="s">
        <v>1497</v>
      </c>
      <c r="D2842" s="2" t="str">
        <f>CLEAN("5916-00-00")</f>
        <v>5916-00-00</v>
      </c>
      <c r="E2842" s="3" t="str">
        <f>CLEAN("T SPRING GREEN  KENNEDY ROAD PATH")</f>
        <v>T SPRING GREEN  KENNEDY ROAD PATH</v>
      </c>
      <c r="F2842" s="3" t="str">
        <f>CLEAN("RUETTEN ROAD TO SHIFFLET ROAD")</f>
        <v>RUETTEN ROAD TO SHIFFLET ROAD</v>
      </c>
      <c r="G2842" s="3" t="str">
        <f>CLEAN("DESIGN - FULL PS&amp;E MULTI-USE PATH")</f>
        <v>DESIGN - FULL PS&amp;E MULTI-USE PATH</v>
      </c>
      <c r="H2842" s="2" t="str">
        <f>CLEAN("NON HWY")</f>
        <v>NON HWY</v>
      </c>
      <c r="I2842" s="2" t="str">
        <f>CLEAN("290")</f>
        <v>290</v>
      </c>
    </row>
    <row r="2843" spans="1:9" x14ac:dyDescent="0.35">
      <c r="A2843" s="2" t="str">
        <f>CLEAN("SAUK")</f>
        <v>SAUK</v>
      </c>
      <c r="B2843" s="2" t="str">
        <f>CLEAN("TOWN OF SPRING GREEN")</f>
        <v>TOWN OF SPRING GREEN</v>
      </c>
      <c r="C2843" s="2" t="s">
        <v>3032</v>
      </c>
      <c r="D2843" s="2" t="str">
        <f>CLEAN("5916-00-70")</f>
        <v>5916-00-70</v>
      </c>
      <c r="E2843" s="3" t="str">
        <f>CLEAN("T SPRING GREEN  KENNEDY ROAD PATH")</f>
        <v>T SPRING GREEN  KENNEDY ROAD PATH</v>
      </c>
      <c r="F2843" s="3" t="str">
        <f>CLEAN("RUETTEN ROAD TO SHIFFLET ROAD")</f>
        <v>RUETTEN ROAD TO SHIFFLET ROAD</v>
      </c>
      <c r="G2843" s="3" t="str">
        <f>CLEAN("PEDESTRAIN/BICYCLE MULTI-USE PATH")</f>
        <v>PEDESTRAIN/BICYCLE MULTI-USE PATH</v>
      </c>
      <c r="H2843" s="2" t="str">
        <f>CLEAN("NON HWY")</f>
        <v>NON HWY</v>
      </c>
      <c r="I2843" s="2" t="str">
        <f>CLEAN("290")</f>
        <v>290</v>
      </c>
    </row>
    <row r="2844" spans="1:9" x14ac:dyDescent="0.35">
      <c r="A2844" s="2" t="str">
        <f>CLEAN("PORTAGE")</f>
        <v>PORTAGE</v>
      </c>
      <c r="B2844" s="2" t="str">
        <f>CLEAN("TOWN OF STOCKTON")</f>
        <v>TOWN OF STOCKTON</v>
      </c>
      <c r="C2844" s="2" t="s">
        <v>2043</v>
      </c>
      <c r="D2844" s="2" t="str">
        <f>CLEAN("6808-02-00")</f>
        <v>6808-02-00</v>
      </c>
      <c r="E2844" s="3" t="str">
        <f>CLEAN("T STOCKTON  STANDING ROCKS ROAD")</f>
        <v>T STOCKTON  STANDING ROCKS ROAD</v>
      </c>
      <c r="F2844" s="3" t="str">
        <f>CLEAN("CUSTER ROAD TO TOWN LINE ROAD")</f>
        <v>CUSTER ROAD TO TOWN LINE ROAD</v>
      </c>
      <c r="G2844" s="3" t="str">
        <f>CLEAN("DESIGN/PAVEMENT REPLACEMENT")</f>
        <v>DESIGN/PAVEMENT REPLACEMENT</v>
      </c>
      <c r="H2844" s="2" t="str">
        <f t="shared" ref="H2844:H2855" si="439">CLEAN("LOC STR")</f>
        <v>LOC STR</v>
      </c>
      <c r="I2844" s="2" t="str">
        <f>CLEAN("206")</f>
        <v>206</v>
      </c>
    </row>
    <row r="2845" spans="1:9" x14ac:dyDescent="0.35">
      <c r="A2845" s="2" t="str">
        <f>CLEAN("PORTAGE")</f>
        <v>PORTAGE</v>
      </c>
      <c r="B2845" s="2" t="str">
        <f>CLEAN("TOWN OF STOCKTON")</f>
        <v>TOWN OF STOCKTON</v>
      </c>
      <c r="C2845" s="2" t="s">
        <v>660</v>
      </c>
      <c r="D2845" s="2" t="str">
        <f>CLEAN("6808-02-70")</f>
        <v>6808-02-70</v>
      </c>
      <c r="E2845" s="3" t="str">
        <f>CLEAN("T STOCKTON  STANDING ROCKS ROAD")</f>
        <v>T STOCKTON  STANDING ROCKS ROAD</v>
      </c>
      <c r="F2845" s="3" t="str">
        <f>CLEAN("CUSTER ROAD TO TOWN LINE ROAD")</f>
        <v>CUSTER ROAD TO TOWN LINE ROAD</v>
      </c>
      <c r="G2845" s="3" t="str">
        <f>CLEAN("CONST/PAVEMENT REPLACEMENT")</f>
        <v>CONST/PAVEMENT REPLACEMENT</v>
      </c>
      <c r="H2845" s="2" t="str">
        <f t="shared" si="439"/>
        <v>LOC STR</v>
      </c>
      <c r="I2845" s="2" t="str">
        <f>CLEAN("206")</f>
        <v>206</v>
      </c>
    </row>
    <row r="2846" spans="1:9" x14ac:dyDescent="0.35">
      <c r="A2846" s="2" t="str">
        <f>CLEAN("WALWORTH")</f>
        <v>WALWORTH</v>
      </c>
      <c r="B2846" s="2" t="str">
        <f>CLEAN("TOWN OF SUGAR CREEK")</f>
        <v>TOWN OF SUGAR CREEK</v>
      </c>
      <c r="C2846" s="2" t="s">
        <v>2995</v>
      </c>
      <c r="D2846" s="2" t="str">
        <f>CLEAN("3840-00-01")</f>
        <v>3840-00-01</v>
      </c>
      <c r="E2846" s="3" t="str">
        <f>CLEAN("T SUGAR CREEK  PLANTATION RD")</f>
        <v>T SUGAR CREEK  PLANTATION RD</v>
      </c>
      <c r="F2846" s="3" t="str">
        <f>CLEAN("LOST NATION RD-STRAWBERRY HILL RD")</f>
        <v>LOST NATION RD-STRAWBERRY HILL RD</v>
      </c>
      <c r="G2846" s="3" t="str">
        <f>CLEAN("PE/STATE REVIEW ONLY")</f>
        <v>PE/STATE REVIEW ONLY</v>
      </c>
      <c r="H2846" s="2" t="str">
        <f t="shared" si="439"/>
        <v>LOC STR</v>
      </c>
      <c r="I2846" s="2" t="str">
        <f>CLEAN("206")</f>
        <v>206</v>
      </c>
    </row>
    <row r="2847" spans="1:9" x14ac:dyDescent="0.35">
      <c r="A2847" s="2" t="str">
        <f>CLEAN("JEFFERSON")</f>
        <v>JEFFERSON</v>
      </c>
      <c r="B2847" s="2" t="str">
        <f>CLEAN("TOWN OF SULLIVAN")</f>
        <v>TOWN OF SULLIVAN</v>
      </c>
      <c r="C2847" s="2" t="s">
        <v>1442</v>
      </c>
      <c r="D2847" s="2" t="str">
        <f>CLEAN("3642-00-03")</f>
        <v>3642-00-03</v>
      </c>
      <c r="E2847" s="3" t="str">
        <f>CLEAN("T OF SULLIVAN  STAUDE RD")</f>
        <v>T OF SULLIVAN  STAUDE RD</v>
      </c>
      <c r="F2847" s="3" t="str">
        <f>CLEAN("DUCK CREEK BRIDGE P-28-0070")</f>
        <v>DUCK CREEK BRIDGE P-28-0070</v>
      </c>
      <c r="G2847" s="3" t="str">
        <f>CLEAN("DESIGN - FULL PS&amp;E BRRPL")</f>
        <v>DESIGN - FULL PS&amp;E BRRPL</v>
      </c>
      <c r="H2847" s="2" t="str">
        <f t="shared" si="439"/>
        <v>LOC STR</v>
      </c>
      <c r="I2847" s="2" t="str">
        <f t="shared" ref="I2847:I2854" si="440">CLEAN("205")</f>
        <v>205</v>
      </c>
    </row>
    <row r="2848" spans="1:9" x14ac:dyDescent="0.35">
      <c r="A2848" s="2" t="str">
        <f>CLEAN("DOUGLAS")</f>
        <v>DOUGLAS</v>
      </c>
      <c r="B2848" s="2" t="str">
        <f>CLEAN("TOWN OF SUMMIT")</f>
        <v>TOWN OF SUMMIT</v>
      </c>
      <c r="C2848" s="2" t="s">
        <v>1420</v>
      </c>
      <c r="D2848" s="2" t="str">
        <f>CLEAN("8394-00-03")</f>
        <v>8394-00-03</v>
      </c>
      <c r="E2848" s="3" t="str">
        <f>CLEAN("T SUMMIT  PATZAU FOXBORO ROAD")</f>
        <v>T SUMMIT  PATZAU FOXBORO ROAD</v>
      </c>
      <c r="F2848" s="3" t="str">
        <f>CLEAN("BALSAM CREEK BRIDGE P-16-0109")</f>
        <v>BALSAM CREEK BRIDGE P-16-0109</v>
      </c>
      <c r="G2848" s="3" t="str">
        <f>CLEAN("DESIGN - FULL PS&amp;E BRRPL")</f>
        <v>DESIGN - FULL PS&amp;E BRRPL</v>
      </c>
      <c r="H2848" s="2" t="str">
        <f t="shared" si="439"/>
        <v>LOC STR</v>
      </c>
      <c r="I2848" s="2" t="str">
        <f t="shared" si="440"/>
        <v>205</v>
      </c>
    </row>
    <row r="2849" spans="1:9" x14ac:dyDescent="0.35">
      <c r="A2849" s="2" t="str">
        <f>CLEAN("DOUGLAS")</f>
        <v>DOUGLAS</v>
      </c>
      <c r="B2849" s="2" t="str">
        <f>CLEAN("TOWN OF SUMMIT")</f>
        <v>TOWN OF SUMMIT</v>
      </c>
      <c r="C2849" s="2" t="s">
        <v>1158</v>
      </c>
      <c r="D2849" s="2" t="str">
        <f>CLEAN("8394-00-73")</f>
        <v>8394-00-73</v>
      </c>
      <c r="E2849" s="3" t="str">
        <f>CLEAN("T SUMMIT  PATZAU FOXBORO ROAD")</f>
        <v>T SUMMIT  PATZAU FOXBORO ROAD</v>
      </c>
      <c r="F2849" s="3" t="str">
        <f>CLEAN("BALSAM CREEK BRIDGE B-16-0151")</f>
        <v>BALSAM CREEK BRIDGE B-16-0151</v>
      </c>
      <c r="G2849" s="3" t="str">
        <f>CLEAN("CONSTRUCTION/BRIDGE REPLACEMENT")</f>
        <v>CONSTRUCTION/BRIDGE REPLACEMENT</v>
      </c>
      <c r="H2849" s="2" t="str">
        <f t="shared" si="439"/>
        <v>LOC STR</v>
      </c>
      <c r="I2849" s="2" t="str">
        <f t="shared" si="440"/>
        <v>205</v>
      </c>
    </row>
    <row r="2850" spans="1:9" x14ac:dyDescent="0.35">
      <c r="A2850" s="2" t="str">
        <f>CLEAN("LANGLADE")</f>
        <v>LANGLADE</v>
      </c>
      <c r="B2850" s="2" t="str">
        <f>CLEAN("TOWN OF SUMMIT")</f>
        <v>TOWN OF SUMMIT</v>
      </c>
      <c r="C2850" s="2" t="s">
        <v>1953</v>
      </c>
      <c r="D2850" s="2" t="str">
        <f>CLEAN("9846-00-00")</f>
        <v>9846-00-00</v>
      </c>
      <c r="E2850" s="3" t="str">
        <f>CLEAN("T SUMMIT  COUNTY LINE ROAD")</f>
        <v>T SUMMIT  COUNTY LINE ROAD</v>
      </c>
      <c r="F2850" s="3" t="str">
        <f>CLEAN("BIG HAY MEADOW CREEK BRIDGE P340918")</f>
        <v>BIG HAY MEADOW CREEK BRIDGE P340918</v>
      </c>
      <c r="G2850" s="3" t="str">
        <f>CLEAN("DESIGN/FULL PSE/REPLACEMENT")</f>
        <v>DESIGN/FULL PSE/REPLACEMENT</v>
      </c>
      <c r="H2850" s="2" t="str">
        <f t="shared" si="439"/>
        <v>LOC STR</v>
      </c>
      <c r="I2850" s="2" t="str">
        <f t="shared" si="440"/>
        <v>205</v>
      </c>
    </row>
    <row r="2851" spans="1:9" x14ac:dyDescent="0.35">
      <c r="A2851" s="2" t="str">
        <f>CLEAN("LANGLADE")</f>
        <v>LANGLADE</v>
      </c>
      <c r="B2851" s="2" t="str">
        <f>CLEAN("TOWN OF SUMMIT")</f>
        <v>TOWN OF SUMMIT</v>
      </c>
      <c r="C2851" s="2" t="s">
        <v>880</v>
      </c>
      <c r="D2851" s="2" t="str">
        <f>CLEAN("9846-00-70")</f>
        <v>9846-00-70</v>
      </c>
      <c r="E2851" s="3" t="str">
        <f>CLEAN("T SUMMIT  COUNTY LINE ROAD")</f>
        <v>T SUMMIT  COUNTY LINE ROAD</v>
      </c>
      <c r="F2851" s="3" t="str">
        <f>CLEAN("BIG HAY MEADOW CREEK BRIDGE B340063")</f>
        <v>BIG HAY MEADOW CREEK BRIDGE B340063</v>
      </c>
      <c r="G2851" s="3" t="str">
        <f>CLEAN("CONST/REPLACEMENT")</f>
        <v>CONST/REPLACEMENT</v>
      </c>
      <c r="H2851" s="2" t="str">
        <f t="shared" si="439"/>
        <v>LOC STR</v>
      </c>
      <c r="I2851" s="2" t="str">
        <f t="shared" si="440"/>
        <v>205</v>
      </c>
    </row>
    <row r="2852" spans="1:9" x14ac:dyDescent="0.35">
      <c r="A2852" s="2" t="str">
        <f>CLEAN("JEFFERSON")</f>
        <v>JEFFERSON</v>
      </c>
      <c r="B2852" s="2" t="str">
        <f>CLEAN("TOWN OF SUMNER")</f>
        <v>TOWN OF SUMNER</v>
      </c>
      <c r="C2852" s="2" t="s">
        <v>1464</v>
      </c>
      <c r="D2852" s="2" t="str">
        <f>CLEAN("3643-00-00")</f>
        <v>3643-00-00</v>
      </c>
      <c r="E2852" s="3" t="str">
        <f>CLEAN("T OF SUMNER  ROCKDALE RD")</f>
        <v>T OF SUMNER  ROCKDALE RD</v>
      </c>
      <c r="F2852" s="3" t="str">
        <f>CLEAN("KOSHKONONG CREEK BRIDGE P-28-0078")</f>
        <v>KOSHKONONG CREEK BRIDGE P-28-0078</v>
      </c>
      <c r="G2852" s="3" t="str">
        <f>CLEAN("DESIGN - FULL PS&amp;E BRRPL")</f>
        <v>DESIGN - FULL PS&amp;E BRRPL</v>
      </c>
      <c r="H2852" s="2" t="str">
        <f t="shared" si="439"/>
        <v>LOC STR</v>
      </c>
      <c r="I2852" s="2" t="str">
        <f t="shared" si="440"/>
        <v>205</v>
      </c>
    </row>
    <row r="2853" spans="1:9" x14ac:dyDescent="0.35">
      <c r="A2853" s="2" t="str">
        <f>CLEAN("SAUK")</f>
        <v>SAUK</v>
      </c>
      <c r="B2853" s="2" t="str">
        <f>CLEAN("TOWN OF SUMPTER")</f>
        <v>TOWN OF SUMPTER</v>
      </c>
      <c r="C2853" s="2" t="s">
        <v>1805</v>
      </c>
      <c r="D2853" s="2" t="str">
        <f>CLEAN("5853-00-03")</f>
        <v>5853-00-03</v>
      </c>
      <c r="E2853" s="3" t="str">
        <f>CLEAN("TOWN OF SUMPTER  STONES POCKET ROAD")</f>
        <v>TOWN OF SUMPTER  STONES POCKET ROAD</v>
      </c>
      <c r="F2853" s="3" t="str">
        <f>CLEAN("OTTER CREEK BRIDGE P-56-0170")</f>
        <v>OTTER CREEK BRIDGE P-56-0170</v>
      </c>
      <c r="G2853" s="3" t="str">
        <f>CLEAN("DESIGN/BRIDGE REPLACEMENT")</f>
        <v>DESIGN/BRIDGE REPLACEMENT</v>
      </c>
      <c r="H2853" s="2" t="str">
        <f t="shared" si="439"/>
        <v>LOC STR</v>
      </c>
      <c r="I2853" s="2" t="str">
        <f t="shared" si="440"/>
        <v>205</v>
      </c>
    </row>
    <row r="2854" spans="1:9" x14ac:dyDescent="0.35">
      <c r="A2854" s="2" t="str">
        <f>CLEAN("SAUK")</f>
        <v>SAUK</v>
      </c>
      <c r="B2854" s="2" t="str">
        <f>CLEAN("TOWN OF SUMPTER")</f>
        <v>TOWN OF SUMPTER</v>
      </c>
      <c r="C2854" s="2" t="s">
        <v>121</v>
      </c>
      <c r="D2854" s="2" t="str">
        <f>CLEAN("5853-00-73")</f>
        <v>5853-00-73</v>
      </c>
      <c r="E2854" s="3" t="str">
        <f>CLEAN("TOWN OF SUMPTER  STONES POCKET ROAD")</f>
        <v>TOWN OF SUMPTER  STONES POCKET ROAD</v>
      </c>
      <c r="F2854" s="3" t="str">
        <f>CLEAN("OTTER CREEK BRIDGE B-56-0249")</f>
        <v>OTTER CREEK BRIDGE B-56-0249</v>
      </c>
      <c r="G2854" s="3" t="str">
        <f>CLEAN("CONST OPS/BRIDGE REPLACEMENT")</f>
        <v>CONST OPS/BRIDGE REPLACEMENT</v>
      </c>
      <c r="H2854" s="2" t="str">
        <f t="shared" si="439"/>
        <v>LOC STR</v>
      </c>
      <c r="I2854" s="2" t="str">
        <f t="shared" si="440"/>
        <v>205</v>
      </c>
    </row>
    <row r="2855" spans="1:9" x14ac:dyDescent="0.35">
      <c r="A2855" s="2" t="str">
        <f>CLEAN("DANE")</f>
        <v>DANE</v>
      </c>
      <c r="B2855" s="2" t="str">
        <f>CLEAN("TOWN OF SUN PRAIRIE")</f>
        <v>TOWN OF SUN PRAIRIE</v>
      </c>
      <c r="C2855" s="2" t="s">
        <v>2184</v>
      </c>
      <c r="D2855" s="2" t="str">
        <f>CLEAN("3628-00-00")</f>
        <v>3628-00-00</v>
      </c>
      <c r="E2855" s="3" t="str">
        <f>CLEAN("T SUN PRAIRIE  BAILEY ROAD")</f>
        <v>T SUN PRAIRIE  BAILEY ROAD</v>
      </c>
      <c r="F2855" s="3" t="str">
        <f>CLEAN("CTH N TO FORWARD DRIVE")</f>
        <v>CTH N TO FORWARD DRIVE</v>
      </c>
      <c r="G2855" s="3" t="str">
        <f>CLEAN("DESIGN/PLAN CHECK REVIEW/RECST")</f>
        <v>DESIGN/PLAN CHECK REVIEW/RECST</v>
      </c>
      <c r="H2855" s="2" t="str">
        <f t="shared" si="439"/>
        <v>LOC STR</v>
      </c>
      <c r="I2855" s="2" t="str">
        <f>CLEAN("206")</f>
        <v>206</v>
      </c>
    </row>
    <row r="2856" spans="1:9" x14ac:dyDescent="0.35">
      <c r="A2856" s="2" t="str">
        <f>CLEAN("BURNETT")</f>
        <v>BURNETT</v>
      </c>
      <c r="B2856" s="2" t="str">
        <f>CLEAN("TOWN OF SWISS")</f>
        <v>TOWN OF SWISS</v>
      </c>
      <c r="C2856" s="2" t="s">
        <v>2045</v>
      </c>
      <c r="D2856" s="2" t="str">
        <f>CLEAN("8560-01-04")</f>
        <v>8560-01-04</v>
      </c>
      <c r="E2856" s="3" t="str">
        <f>CLEAN("ST CROIX RIVER - DANBURY")</f>
        <v>ST CROIX RIVER - DANBURY</v>
      </c>
      <c r="F2856" s="3" t="str">
        <f>CLEAN("MN/WI STATE LN TO STH 35 S")</f>
        <v>MN/WI STATE LN TO STH 35 S</v>
      </c>
      <c r="G2856" s="3" t="str">
        <f>CLEAN("DESIGN/PAVEMENT REPLACEMENT")</f>
        <v>DESIGN/PAVEMENT REPLACEMENT</v>
      </c>
      <c r="H2856" s="2" t="str">
        <f>CLEAN("STH 077")</f>
        <v>STH 077</v>
      </c>
      <c r="I2856" s="2" t="str">
        <f>CLEAN("303")</f>
        <v>303</v>
      </c>
    </row>
    <row r="2857" spans="1:9" x14ac:dyDescent="0.35">
      <c r="A2857" s="2" t="str">
        <f>CLEAN("BURNETT")</f>
        <v>BURNETT</v>
      </c>
      <c r="B2857" s="2" t="str">
        <f>CLEAN("TOWN OF SWISS")</f>
        <v>TOWN OF SWISS</v>
      </c>
      <c r="C2857" s="2" t="s">
        <v>3171</v>
      </c>
      <c r="D2857" s="2" t="str">
        <f>CLEAN("8560-01-24")</f>
        <v>8560-01-24</v>
      </c>
      <c r="E2857" s="3" t="str">
        <f>CLEAN("ST CROIX RIVER - DANBURY")</f>
        <v>ST CROIX RIVER - DANBURY</v>
      </c>
      <c r="F2857" s="3" t="str">
        <f>CLEAN("MN/WI STATE LN TO STH 35 S")</f>
        <v>MN/WI STATE LN TO STH 35 S</v>
      </c>
      <c r="G2857" s="3" t="str">
        <f>CLEAN("REAL ESTATE ACQUISITION/8560-01-74")</f>
        <v>REAL ESTATE ACQUISITION/8560-01-74</v>
      </c>
      <c r="H2857" s="2" t="str">
        <f>CLEAN("STH 077")</f>
        <v>STH 077</v>
      </c>
      <c r="I2857" s="2" t="str">
        <f>CLEAN("303")</f>
        <v>303</v>
      </c>
    </row>
    <row r="2858" spans="1:9" x14ac:dyDescent="0.35">
      <c r="A2858" s="2" t="str">
        <f>CLEAN("MARATHON")</f>
        <v>MARATHON</v>
      </c>
      <c r="B2858" s="2" t="str">
        <f>CLEAN("TOWN OF TEXAS")</f>
        <v>TOWN OF TEXAS</v>
      </c>
      <c r="C2858" s="2" t="s">
        <v>1949</v>
      </c>
      <c r="D2858" s="2" t="str">
        <f>CLEAN("9492-00-00")</f>
        <v>9492-00-00</v>
      </c>
      <c r="E2858" s="3" t="str">
        <f>CLEAN("T TEXAS  RIVER HILLS ROAD")</f>
        <v>T TEXAS  RIVER HILLS ROAD</v>
      </c>
      <c r="F2858" s="3" t="str">
        <f>CLEAN("BIG CAIN CREEK BRIDGE  P-37-0121")</f>
        <v>BIG CAIN CREEK BRIDGE  P-37-0121</v>
      </c>
      <c r="G2858" s="3" t="str">
        <f>CLEAN("DESIGN/FULL PSE/REPLACEMENT")</f>
        <v>DESIGN/FULL PSE/REPLACEMENT</v>
      </c>
      <c r="H2858" s="2" t="str">
        <f t="shared" ref="H2858:H2867" si="441">CLEAN("LOC STR")</f>
        <v>LOC STR</v>
      </c>
      <c r="I2858" s="2" t="str">
        <f t="shared" ref="I2858:I2867" si="442">CLEAN("205")</f>
        <v>205</v>
      </c>
    </row>
    <row r="2859" spans="1:9" x14ac:dyDescent="0.35">
      <c r="A2859" s="2" t="str">
        <f>CLEAN("MARATHON")</f>
        <v>MARATHON</v>
      </c>
      <c r="B2859" s="2" t="str">
        <f>CLEAN("TOWN OF TEXAS")</f>
        <v>TOWN OF TEXAS</v>
      </c>
      <c r="C2859" s="2" t="s">
        <v>1950</v>
      </c>
      <c r="D2859" s="2" t="str">
        <f>CLEAN("9492-00-01")</f>
        <v>9492-00-01</v>
      </c>
      <c r="E2859" s="3" t="str">
        <f>CLEAN("T TEXAS  COUNTY LINE ROAD")</f>
        <v>T TEXAS  COUNTY LINE ROAD</v>
      </c>
      <c r="F2859" s="3" t="str">
        <f>CLEAN("BIG CAIN CREEK BRIDGE  P-37-0937")</f>
        <v>BIG CAIN CREEK BRIDGE  P-37-0937</v>
      </c>
      <c r="G2859" s="3" t="str">
        <f>CLEAN("DESIGN/FULL PSE/REPLACEMENT")</f>
        <v>DESIGN/FULL PSE/REPLACEMENT</v>
      </c>
      <c r="H2859" s="2" t="str">
        <f t="shared" si="441"/>
        <v>LOC STR</v>
      </c>
      <c r="I2859" s="2" t="str">
        <f t="shared" si="442"/>
        <v>205</v>
      </c>
    </row>
    <row r="2860" spans="1:9" x14ac:dyDescent="0.35">
      <c r="A2860" s="2" t="str">
        <f>CLEAN("CLARK")</f>
        <v>CLARK</v>
      </c>
      <c r="B2860" s="2" t="str">
        <f>CLEAN("TOWN OF THORP")</f>
        <v>TOWN OF THORP</v>
      </c>
      <c r="C2860" s="2" t="s">
        <v>1866</v>
      </c>
      <c r="D2860" s="2" t="str">
        <f>CLEAN("8884-00-02")</f>
        <v>8884-00-02</v>
      </c>
      <c r="E2860" s="3" t="str">
        <f>CLEAN("T THORP  PINE ROAD")</f>
        <v>T THORP  PINE ROAD</v>
      </c>
      <c r="F2860" s="3" t="str">
        <f>CLEAN("GOGGLE-EYE CREEK BRIDGE P-10-0936")</f>
        <v>GOGGLE-EYE CREEK BRIDGE P-10-0936</v>
      </c>
      <c r="G2860" s="3" t="str">
        <f>CLEAN("DESIGN/FULL PS&amp;E BRIDGE REPLACEMENT")</f>
        <v>DESIGN/FULL PS&amp;E BRIDGE REPLACEMENT</v>
      </c>
      <c r="H2860" s="2" t="str">
        <f t="shared" si="441"/>
        <v>LOC STR</v>
      </c>
      <c r="I2860" s="2" t="str">
        <f t="shared" si="442"/>
        <v>205</v>
      </c>
    </row>
    <row r="2861" spans="1:9" x14ac:dyDescent="0.35">
      <c r="A2861" s="2" t="str">
        <f>CLEAN("CLARK")</f>
        <v>CLARK</v>
      </c>
      <c r="B2861" s="2" t="str">
        <f>CLEAN("TOWN OF THORP")</f>
        <v>TOWN OF THORP</v>
      </c>
      <c r="C2861" s="2" t="s">
        <v>1607</v>
      </c>
      <c r="D2861" s="2" t="str">
        <f>CLEAN("8884-00-03")</f>
        <v>8884-00-03</v>
      </c>
      <c r="E2861" s="3" t="str">
        <f>CLEAN("T THORP  PINE ROAD")</f>
        <v>T THORP  PINE ROAD</v>
      </c>
      <c r="F2861" s="3" t="str">
        <f>CLEAN("ROGER CREEK BRIDGE P-10-0931")</f>
        <v>ROGER CREEK BRIDGE P-10-0931</v>
      </c>
      <c r="G2861" s="3" t="str">
        <f>CLEAN("DESIGN - FULL PS&amp;E/BRRPL")</f>
        <v>DESIGN - FULL PS&amp;E/BRRPL</v>
      </c>
      <c r="H2861" s="2" t="str">
        <f t="shared" si="441"/>
        <v>LOC STR</v>
      </c>
      <c r="I2861" s="2" t="str">
        <f t="shared" si="442"/>
        <v>205</v>
      </c>
    </row>
    <row r="2862" spans="1:9" x14ac:dyDescent="0.35">
      <c r="A2862" s="2" t="str">
        <f>CLEAN("CLARK")</f>
        <v>CLARK</v>
      </c>
      <c r="B2862" s="2" t="str">
        <f>CLEAN("TOWN OF THORP")</f>
        <v>TOWN OF THORP</v>
      </c>
      <c r="C2862" s="2" t="s">
        <v>1182</v>
      </c>
      <c r="D2862" s="2" t="str">
        <f>CLEAN("8884-00-72")</f>
        <v>8884-00-72</v>
      </c>
      <c r="E2862" s="3" t="str">
        <f>CLEAN("T THORP  PINE ROAD")</f>
        <v>T THORP  PINE ROAD</v>
      </c>
      <c r="F2862" s="3" t="str">
        <f>CLEAN("GOGGLE-EYE CREEK BRIDGE B-10-0263")</f>
        <v>GOGGLE-EYE CREEK BRIDGE B-10-0263</v>
      </c>
      <c r="G2862" s="3" t="str">
        <f>CLEAN("CONSTRUCTION/BRIDGE REPLACEMENT")</f>
        <v>CONSTRUCTION/BRIDGE REPLACEMENT</v>
      </c>
      <c r="H2862" s="2" t="str">
        <f t="shared" si="441"/>
        <v>LOC STR</v>
      </c>
      <c r="I2862" s="2" t="str">
        <f t="shared" si="442"/>
        <v>205</v>
      </c>
    </row>
    <row r="2863" spans="1:9" x14ac:dyDescent="0.35">
      <c r="A2863" s="2" t="str">
        <f>CLEAN("CLARK")</f>
        <v>CLARK</v>
      </c>
      <c r="B2863" s="2" t="str">
        <f>CLEAN("TOWN OF THORP")</f>
        <v>TOWN OF THORP</v>
      </c>
      <c r="C2863" s="2" t="s">
        <v>1268</v>
      </c>
      <c r="D2863" s="2" t="str">
        <f>CLEAN("8884-00-73")</f>
        <v>8884-00-73</v>
      </c>
      <c r="E2863" s="3" t="str">
        <f>CLEAN("T THORP  PINE ROAD")</f>
        <v>T THORP  PINE ROAD</v>
      </c>
      <c r="F2863" s="3" t="str">
        <f>CLEAN("ROGER CREEK BRIDGE B-10-0268")</f>
        <v>ROGER CREEK BRIDGE B-10-0268</v>
      </c>
      <c r="G2863" s="3" t="str">
        <f>CLEAN("CONSTRUCTION/BRRPL")</f>
        <v>CONSTRUCTION/BRRPL</v>
      </c>
      <c r="H2863" s="2" t="str">
        <f t="shared" si="441"/>
        <v>LOC STR</v>
      </c>
      <c r="I2863" s="2" t="str">
        <f t="shared" si="442"/>
        <v>205</v>
      </c>
    </row>
    <row r="2864" spans="1:9" x14ac:dyDescent="0.35">
      <c r="A2864" s="2" t="str">
        <f>CLEAN("ONEIDA")</f>
        <v>ONEIDA</v>
      </c>
      <c r="B2864" s="2" t="str">
        <f>CLEAN("TOWN OF THREE LAKES")</f>
        <v>TOWN OF THREE LAKES</v>
      </c>
      <c r="C2864" s="2" t="s">
        <v>1702</v>
      </c>
      <c r="D2864" s="2" t="str">
        <f>CLEAN("9883-00-00")</f>
        <v>9883-00-00</v>
      </c>
      <c r="E2864" s="3" t="str">
        <f>CLEAN("T THREE LAKES  TOWN ROAD X")</f>
        <v>T THREE LAKES  TOWN ROAD X</v>
      </c>
      <c r="F2864" s="3" t="str">
        <f>CLEAN("EAGLE RIVER BRIDGE B-43-0046")</f>
        <v>EAGLE RIVER BRIDGE B-43-0046</v>
      </c>
      <c r="G2864" s="3" t="str">
        <f>CLEAN("DESIGN OVERSITE/PIER REHABILITATION")</f>
        <v>DESIGN OVERSITE/PIER REHABILITATION</v>
      </c>
      <c r="H2864" s="2" t="str">
        <f t="shared" si="441"/>
        <v>LOC STR</v>
      </c>
      <c r="I2864" s="2" t="str">
        <f t="shared" si="442"/>
        <v>205</v>
      </c>
    </row>
    <row r="2865" spans="1:9" x14ac:dyDescent="0.35">
      <c r="A2865" s="2" t="str">
        <f>CLEAN("ONEIDA")</f>
        <v>ONEIDA</v>
      </c>
      <c r="B2865" s="2" t="str">
        <f>CLEAN("TOWN OF THREE LAKES")</f>
        <v>TOWN OF THREE LAKES</v>
      </c>
      <c r="C2865" s="2" t="s">
        <v>693</v>
      </c>
      <c r="D2865" s="2" t="str">
        <f>CLEAN("9883-00-70")</f>
        <v>9883-00-70</v>
      </c>
      <c r="E2865" s="3" t="str">
        <f>CLEAN("T THREE LAKES  TOWN ROAD X")</f>
        <v>T THREE LAKES  TOWN ROAD X</v>
      </c>
      <c r="F2865" s="3" t="str">
        <f>CLEAN("EAGLE RIVER BRIDGE B-43-0046")</f>
        <v>EAGLE RIVER BRIDGE B-43-0046</v>
      </c>
      <c r="G2865" s="3" t="str">
        <f>CLEAN("CONST/PIER REHABILITATION")</f>
        <v>CONST/PIER REHABILITATION</v>
      </c>
      <c r="H2865" s="2" t="str">
        <f t="shared" si="441"/>
        <v>LOC STR</v>
      </c>
      <c r="I2865" s="2" t="str">
        <f t="shared" si="442"/>
        <v>205</v>
      </c>
    </row>
    <row r="2866" spans="1:9" x14ac:dyDescent="0.35">
      <c r="A2866" s="2" t="str">
        <f>CLEAN("MONROE")</f>
        <v>MONROE</v>
      </c>
      <c r="B2866" s="2" t="str">
        <f>CLEAN("TOWN OF TOMAH")</f>
        <v>TOWN OF TOMAH</v>
      </c>
      <c r="C2866" s="2" t="s">
        <v>1791</v>
      </c>
      <c r="D2866" s="2" t="str">
        <f>CLEAN("5025-00-02")</f>
        <v>5025-00-02</v>
      </c>
      <c r="E2866" s="3" t="str">
        <f>CLEAN("T TOMAH  INTERIOR ROAD")</f>
        <v>T TOMAH  INTERIOR ROAD</v>
      </c>
      <c r="F2866" s="3" t="str">
        <f>CLEAN("LEMONWEIR CREEK BRIDGE  P-41-0180")</f>
        <v>LEMONWEIR CREEK BRIDGE  P-41-0180</v>
      </c>
      <c r="G2866" s="3" t="str">
        <f>CLEAN("DESIGN/BRIDGE REPLACEMENT")</f>
        <v>DESIGN/BRIDGE REPLACEMENT</v>
      </c>
      <c r="H2866" s="2" t="str">
        <f t="shared" si="441"/>
        <v>LOC STR</v>
      </c>
      <c r="I2866" s="2" t="str">
        <f t="shared" si="442"/>
        <v>205</v>
      </c>
    </row>
    <row r="2867" spans="1:9" x14ac:dyDescent="0.35">
      <c r="A2867" s="2" t="str">
        <f>CLEAN("MONROE")</f>
        <v>MONROE</v>
      </c>
      <c r="B2867" s="2" t="str">
        <f>CLEAN("TOWN OF TOMAH")</f>
        <v>TOWN OF TOMAH</v>
      </c>
      <c r="C2867" s="2" t="s">
        <v>449</v>
      </c>
      <c r="D2867" s="2" t="str">
        <f>CLEAN("5025-00-72")</f>
        <v>5025-00-72</v>
      </c>
      <c r="E2867" s="3" t="str">
        <f>CLEAN("T TOMAH  INTERIOR ROAD")</f>
        <v>T TOMAH  INTERIOR ROAD</v>
      </c>
      <c r="F2867" s="3" t="str">
        <f>CLEAN("LEMONWEIR CREEK BRIDGE  B-41-0339")</f>
        <v>LEMONWEIR CREEK BRIDGE  B-41-0339</v>
      </c>
      <c r="G2867" s="3" t="str">
        <f>CLEAN("CONST/BRIDGE REPLACEMENT")</f>
        <v>CONST/BRIDGE REPLACEMENT</v>
      </c>
      <c r="H2867" s="2" t="str">
        <f t="shared" si="441"/>
        <v>LOC STR</v>
      </c>
      <c r="I2867" s="2" t="str">
        <f t="shared" si="442"/>
        <v>205</v>
      </c>
    </row>
    <row r="2868" spans="1:9" x14ac:dyDescent="0.35">
      <c r="A2868" s="2" t="str">
        <f>CLEAN("OUTAGAMIE")</f>
        <v>OUTAGAMIE</v>
      </c>
      <c r="B2868" s="2" t="str">
        <f>CLEAN("TOWN OF VANDENBROEK")</f>
        <v>TOWN OF VANDENBROEK</v>
      </c>
      <c r="C2868" s="2" t="s">
        <v>850</v>
      </c>
      <c r="D2868" s="2" t="str">
        <f>CLEAN("1130-66-71")</f>
        <v>1130-66-71</v>
      </c>
      <c r="E2868" s="3" t="str">
        <f>CLEAN("APPLETON - DE PERE")</f>
        <v>APPLETON - DE PERE</v>
      </c>
      <c r="F2868" s="3" t="str">
        <f>CLEAN("I-41 MAINLINE  HOLLAND-CTH N")</f>
        <v>I-41 MAINLINE  HOLLAND-CTH N</v>
      </c>
      <c r="G2868" s="3" t="str">
        <f>CLEAN("CONST/RECSTE MAINLINE HOLLAND-CTH N")</f>
        <v>CONST/RECSTE MAINLINE HOLLAND-CTH N</v>
      </c>
      <c r="H2868" s="2" t="str">
        <f>CLEAN("IH  041")</f>
        <v>IH  041</v>
      </c>
      <c r="I2868" s="2" t="str">
        <f>CLEAN("302")</f>
        <v>302</v>
      </c>
    </row>
    <row r="2869" spans="1:9" x14ac:dyDescent="0.35">
      <c r="A2869" s="2" t="str">
        <f>CLEAN("OUTAGAMIE")</f>
        <v>OUTAGAMIE</v>
      </c>
      <c r="B2869" s="2" t="str">
        <f>CLEAN("TOWN OF VANDENBROEK")</f>
        <v>TOWN OF VANDENBROEK</v>
      </c>
      <c r="C2869" s="2" t="s">
        <v>853</v>
      </c>
      <c r="D2869" s="2" t="str">
        <f>CLEAN("1130-66-84")</f>
        <v>1130-66-84</v>
      </c>
      <c r="E2869" s="3" t="str">
        <f>CLEAN("APPLETON - DE PERE")</f>
        <v>APPLETON - DE PERE</v>
      </c>
      <c r="F2869" s="3" t="str">
        <f>CLEAN("MALONEY RD")</f>
        <v>MALONEY RD</v>
      </c>
      <c r="G2869" s="3" t="str">
        <f>CLEAN("CONST/RECSTE MALONEY RD")</f>
        <v>CONST/RECSTE MALONEY RD</v>
      </c>
      <c r="H2869" s="2" t="str">
        <f>CLEAN("IH  041")</f>
        <v>IH  041</v>
      </c>
      <c r="I2869" s="2" t="str">
        <f>CLEAN("302")</f>
        <v>302</v>
      </c>
    </row>
    <row r="2870" spans="1:9" x14ac:dyDescent="0.35">
      <c r="A2870" s="2" t="str">
        <f>CLEAN("OUTAGAMIE")</f>
        <v>OUTAGAMIE</v>
      </c>
      <c r="B2870" s="2" t="str">
        <f>CLEAN("TOWN OF VANDENBROEK")</f>
        <v>TOWN OF VANDENBROEK</v>
      </c>
      <c r="C2870" s="2" t="s">
        <v>2462</v>
      </c>
      <c r="D2870" s="2" t="str">
        <f>CLEAN("6500-04-00")</f>
        <v>6500-04-00</v>
      </c>
      <c r="E2870" s="3" t="str">
        <f>CLEAN("T VANDENBROEK  BUCHANAN ROAD")</f>
        <v>T VANDENBROEK  BUCHANAN ROAD</v>
      </c>
      <c r="F2870" s="3" t="str">
        <f>CLEAN("APPLE CREEK BRIDGE")</f>
        <v>APPLE CREEK BRIDGE</v>
      </c>
      <c r="G2870" s="3" t="str">
        <f>CLEAN("DSN/FULL PSE/BRRPL P440924")</f>
        <v>DSN/FULL PSE/BRRPL P440924</v>
      </c>
      <c r="H2870" s="2" t="str">
        <f>CLEAN("LOC STR")</f>
        <v>LOC STR</v>
      </c>
      <c r="I2870" s="2" t="str">
        <f>CLEAN("205")</f>
        <v>205</v>
      </c>
    </row>
    <row r="2871" spans="1:9" x14ac:dyDescent="0.35">
      <c r="A2871" s="2" t="str">
        <f>CLEAN("DANE")</f>
        <v>DANE</v>
      </c>
      <c r="B2871" s="2" t="str">
        <f>CLEAN("TOWN OF VERONA")</f>
        <v>TOWN OF VERONA</v>
      </c>
      <c r="C2871" s="2" t="s">
        <v>58</v>
      </c>
      <c r="D2871" s="2" t="str">
        <f>CLEAN("5796-00-73")</f>
        <v>5796-00-73</v>
      </c>
      <c r="E2871" s="3" t="str">
        <f>CLEAN("T VERONA  OLD CTH PB")</f>
        <v>T VERONA  OLD CTH PB</v>
      </c>
      <c r="F2871" s="3" t="str">
        <f>CLEAN("BADGER MILL CREEK BR B-13-0683")</f>
        <v>BADGER MILL CREEK BR B-13-0683</v>
      </c>
      <c r="G2871" s="3" t="str">
        <f>CLEAN("CONST OPS/BRIDGE REPLACEMENT")</f>
        <v>CONST OPS/BRIDGE REPLACEMENT</v>
      </c>
      <c r="H2871" s="2" t="str">
        <f>CLEAN("LOC STR")</f>
        <v>LOC STR</v>
      </c>
      <c r="I2871" s="2" t="str">
        <f>CLEAN("205")</f>
        <v>205</v>
      </c>
    </row>
    <row r="2872" spans="1:9" x14ac:dyDescent="0.35">
      <c r="A2872" s="2" t="str">
        <f>CLEAN("FOREST")</f>
        <v>FOREST</v>
      </c>
      <c r="B2872" s="2" t="str">
        <f>CLEAN("TOWN OF WABENO")</f>
        <v>TOWN OF WABENO</v>
      </c>
      <c r="C2872" s="2" t="s">
        <v>713</v>
      </c>
      <c r="D2872" s="2" t="str">
        <f>CLEAN("9130-03-72")</f>
        <v>9130-03-72</v>
      </c>
      <c r="E2872" s="3" t="str">
        <f>CLEAN("WABENO - CRANDON")</f>
        <v>WABENO - CRANDON</v>
      </c>
      <c r="F2872" s="3" t="str">
        <f>CLEAN("CTH C TO FOREST AVENUE")</f>
        <v>CTH C TO FOREST AVENUE</v>
      </c>
      <c r="G2872" s="3" t="str">
        <f>CLEAN("CONST/PVRPLA")</f>
        <v>CONST/PVRPLA</v>
      </c>
      <c r="H2872" s="2" t="str">
        <f>CLEAN("STH 032")</f>
        <v>STH 032</v>
      </c>
      <c r="I2872" s="2" t="str">
        <f>CLEAN("303")</f>
        <v>303</v>
      </c>
    </row>
    <row r="2873" spans="1:9" x14ac:dyDescent="0.35">
      <c r="A2873" s="2" t="str">
        <f>CLEAN("FOREST")</f>
        <v>FOREST</v>
      </c>
      <c r="B2873" s="2" t="str">
        <f>CLEAN("TOWN OF WABENO")</f>
        <v>TOWN OF WABENO</v>
      </c>
      <c r="C2873" s="2" t="s">
        <v>1933</v>
      </c>
      <c r="D2873" s="2" t="str">
        <f>CLEAN("9822-00-00")</f>
        <v>9822-00-00</v>
      </c>
      <c r="E2873" s="3" t="str">
        <f>CLEAN("T WABENO  CAVOUR AVENUE")</f>
        <v>T WABENO  CAVOUR AVENUE</v>
      </c>
      <c r="F2873" s="3" t="str">
        <f>CLEAN("DEPOT LANE TO FOLKMAN STREET")</f>
        <v>DEPOT LANE TO FOLKMAN STREET</v>
      </c>
      <c r="G2873" s="3" t="str">
        <f>CLEAN("DESIGN/FULL PSE/RECONSTRUCT")</f>
        <v>DESIGN/FULL PSE/RECONSTRUCT</v>
      </c>
      <c r="H2873" s="2" t="str">
        <f t="shared" ref="H2873:H2906" si="443">CLEAN("LOC STR")</f>
        <v>LOC STR</v>
      </c>
      <c r="I2873" s="2" t="str">
        <f>CLEAN("206")</f>
        <v>206</v>
      </c>
    </row>
    <row r="2874" spans="1:9" x14ac:dyDescent="0.35">
      <c r="A2874" s="2" t="str">
        <f>CLEAN("FOREST")</f>
        <v>FOREST</v>
      </c>
      <c r="B2874" s="2" t="str">
        <f>CLEAN("TOWN OF WABENO")</f>
        <v>TOWN OF WABENO</v>
      </c>
      <c r="C2874" s="2" t="s">
        <v>765</v>
      </c>
      <c r="D2874" s="2" t="str">
        <f>CLEAN("9822-00-70")</f>
        <v>9822-00-70</v>
      </c>
      <c r="E2874" s="3" t="str">
        <f>CLEAN("T WABENO  CAVOUR AVENUE")</f>
        <v>T WABENO  CAVOUR AVENUE</v>
      </c>
      <c r="F2874" s="3" t="str">
        <f>CLEAN("DEPOT LANE TO FOLKMAN STREET")</f>
        <v>DEPOT LANE TO FOLKMAN STREET</v>
      </c>
      <c r="G2874" s="3" t="str">
        <f>CLEAN("CONST/RECONSTRUCT")</f>
        <v>CONST/RECONSTRUCT</v>
      </c>
      <c r="H2874" s="2" t="str">
        <f t="shared" si="443"/>
        <v>LOC STR</v>
      </c>
      <c r="I2874" s="2" t="str">
        <f>CLEAN("206")</f>
        <v>206</v>
      </c>
    </row>
    <row r="2875" spans="1:9" x14ac:dyDescent="0.35">
      <c r="A2875" s="2" t="str">
        <f>CLEAN("DOUGLAS")</f>
        <v>DOUGLAS</v>
      </c>
      <c r="B2875" s="2" t="str">
        <f>CLEAN("TOWN OF WASCOTT")</f>
        <v>TOWN OF WASCOTT</v>
      </c>
      <c r="C2875" s="2" t="s">
        <v>1840</v>
      </c>
      <c r="D2875" s="2" t="str">
        <f>CLEAN("8396-00-03")</f>
        <v>8396-00-03</v>
      </c>
      <c r="E2875" s="3" t="str">
        <f>CLEAN("T WASCOTT  LAWLER BRIDGE ROAD")</f>
        <v>T WASCOTT  LAWLER BRIDGE ROAD</v>
      </c>
      <c r="F2875" s="3" t="str">
        <f>CLEAN("EAU CLAIRE RIVER BRIDGE P160129")</f>
        <v>EAU CLAIRE RIVER BRIDGE P160129</v>
      </c>
      <c r="G2875" s="3" t="str">
        <f>CLEAN("DESIGN/BRRPL")</f>
        <v>DESIGN/BRRPL</v>
      </c>
      <c r="H2875" s="2" t="str">
        <f t="shared" si="443"/>
        <v>LOC STR</v>
      </c>
      <c r="I2875" s="2" t="str">
        <f>CLEAN("205")</f>
        <v>205</v>
      </c>
    </row>
    <row r="2876" spans="1:9" x14ac:dyDescent="0.35">
      <c r="A2876" s="2" t="str">
        <f>CLEAN("DOUGLAS")</f>
        <v>DOUGLAS</v>
      </c>
      <c r="B2876" s="2" t="str">
        <f>CLEAN("TOWN OF WASCOTT")</f>
        <v>TOWN OF WASCOTT</v>
      </c>
      <c r="C2876" s="2" t="s">
        <v>1449</v>
      </c>
      <c r="D2876" s="2" t="str">
        <f>CLEAN("8396-00-04")</f>
        <v>8396-00-04</v>
      </c>
      <c r="E2876" s="3" t="str">
        <f>CLEAN("T WASCOTT  LIDBERG BRIDGE ROAD")</f>
        <v>T WASCOTT  LIDBERG BRIDGE ROAD</v>
      </c>
      <c r="F2876" s="3" t="str">
        <f>CLEAN("EAU CLAIRE RIVER BRIDGE P-16-0131")</f>
        <v>EAU CLAIRE RIVER BRIDGE P-16-0131</v>
      </c>
      <c r="G2876" s="3" t="str">
        <f>CLEAN("DESIGN - FULL PS&amp;E BRRPL")</f>
        <v>DESIGN - FULL PS&amp;E BRRPL</v>
      </c>
      <c r="H2876" s="2" t="str">
        <f t="shared" si="443"/>
        <v>LOC STR</v>
      </c>
      <c r="I2876" s="2" t="str">
        <f>CLEAN("205")</f>
        <v>205</v>
      </c>
    </row>
    <row r="2877" spans="1:9" x14ac:dyDescent="0.35">
      <c r="A2877" s="2" t="str">
        <f>CLEAN("DOUGLAS")</f>
        <v>DOUGLAS</v>
      </c>
      <c r="B2877" s="2" t="str">
        <f>CLEAN("TOWN OF WASCOTT")</f>
        <v>TOWN OF WASCOTT</v>
      </c>
      <c r="C2877" s="2" t="s">
        <v>1177</v>
      </c>
      <c r="D2877" s="2" t="str">
        <f>CLEAN("8396-00-74")</f>
        <v>8396-00-74</v>
      </c>
      <c r="E2877" s="3" t="str">
        <f>CLEAN("T WASCOTT  LIDBERG BRIDGE ROAD")</f>
        <v>T WASCOTT  LIDBERG BRIDGE ROAD</v>
      </c>
      <c r="F2877" s="3" t="str">
        <f>CLEAN("EAU CLAIRE RIVER BRIDGE B-16-0149")</f>
        <v>EAU CLAIRE RIVER BRIDGE B-16-0149</v>
      </c>
      <c r="G2877" s="3" t="str">
        <f>CLEAN("CONSTRUCTION/BRIDGE REPLACEMENT")</f>
        <v>CONSTRUCTION/BRIDGE REPLACEMENT</v>
      </c>
      <c r="H2877" s="2" t="str">
        <f t="shared" si="443"/>
        <v>LOC STR</v>
      </c>
      <c r="I2877" s="2" t="str">
        <f>CLEAN("205")</f>
        <v>205</v>
      </c>
    </row>
    <row r="2878" spans="1:9" x14ac:dyDescent="0.35">
      <c r="A2878" s="2" t="str">
        <f>CLEAN("CLARK")</f>
        <v>CLARK</v>
      </c>
      <c r="B2878" s="2" t="str">
        <f>CLEAN("TOWN OF WASHBURN")</f>
        <v>TOWN OF WASHBURN</v>
      </c>
      <c r="C2878" s="2" t="s">
        <v>503</v>
      </c>
      <c r="D2878" s="2" t="str">
        <f>CLEAN("7859-00-70")</f>
        <v>7859-00-70</v>
      </c>
      <c r="E2878" s="3" t="str">
        <f>CLEAN("T WASHBURN  PRAY AVENUE")</f>
        <v>T WASHBURN  PRAY AVENUE</v>
      </c>
      <c r="F2878" s="3" t="str">
        <f>CLEAN("CUNNINGHAM CREEK BRIDGE B100237")</f>
        <v>CUNNINGHAM CREEK BRIDGE B100237</v>
      </c>
      <c r="G2878" s="3" t="str">
        <f>CLEAN("CONST/BRRPL")</f>
        <v>CONST/BRRPL</v>
      </c>
      <c r="H2878" s="2" t="str">
        <f t="shared" si="443"/>
        <v>LOC STR</v>
      </c>
      <c r="I2878" s="2" t="str">
        <f>CLEAN("205")</f>
        <v>205</v>
      </c>
    </row>
    <row r="2879" spans="1:9" x14ac:dyDescent="0.35">
      <c r="A2879" s="2" t="str">
        <f>CLEAN("CLARK")</f>
        <v>CLARK</v>
      </c>
      <c r="B2879" s="2" t="str">
        <f>CLEAN("TOWN OF WASHBURN")</f>
        <v>TOWN OF WASHBURN</v>
      </c>
      <c r="C2879" s="2" t="s">
        <v>1202</v>
      </c>
      <c r="D2879" s="2" t="str">
        <f>CLEAN("7859-00-71")</f>
        <v>7859-00-71</v>
      </c>
      <c r="E2879" s="3" t="str">
        <f>CLEAN("T WASHBURN  CARDINAL AVE")</f>
        <v>T WASHBURN  CARDINAL AVE</v>
      </c>
      <c r="F2879" s="3" t="str">
        <f>CLEAN("ROCK CREEK BRIDGE B-10-0401")</f>
        <v>ROCK CREEK BRIDGE B-10-0401</v>
      </c>
      <c r="G2879" s="3" t="str">
        <f>CLEAN("CONSTRUCTION/BRIDGE REPLACEMENT")</f>
        <v>CONSTRUCTION/BRIDGE REPLACEMENT</v>
      </c>
      <c r="H2879" s="2" t="str">
        <f t="shared" si="443"/>
        <v>LOC STR</v>
      </c>
      <c r="I2879" s="2" t="str">
        <f>CLEAN("205")</f>
        <v>205</v>
      </c>
    </row>
    <row r="2880" spans="1:9" x14ac:dyDescent="0.35">
      <c r="A2880" s="2" t="str">
        <f>CLEAN("BAYFIELD")</f>
        <v>BAYFIELD</v>
      </c>
      <c r="B2880" s="2" t="str">
        <f>CLEAN("TOWN OF WASHBURN")</f>
        <v>TOWN OF WASHBURN</v>
      </c>
      <c r="C2880" s="2" t="s">
        <v>1653</v>
      </c>
      <c r="D2880" s="2" t="str">
        <f>CLEAN("8359-00-00")</f>
        <v>8359-00-00</v>
      </c>
      <c r="E2880" s="3" t="str">
        <f>CLEAN("T WASHBURN  WANNEBO ROAD")</f>
        <v>T WASHBURN  WANNEBO ROAD</v>
      </c>
      <c r="F2880" s="3" t="str">
        <f>CLEAN("ONDOSSAGON RD TO CHEQUAMEGON HTS RD")</f>
        <v>ONDOSSAGON RD TO CHEQUAMEGON HTS RD</v>
      </c>
      <c r="G2880" s="3" t="str">
        <f>CLEAN("DESIGN - FULL PS&amp;E/RECONSTRUCTION")</f>
        <v>DESIGN - FULL PS&amp;E/RECONSTRUCTION</v>
      </c>
      <c r="H2880" s="2" t="str">
        <f t="shared" si="443"/>
        <v>LOC STR</v>
      </c>
      <c r="I2880" s="2" t="str">
        <f>CLEAN("206")</f>
        <v>206</v>
      </c>
    </row>
    <row r="2881" spans="1:9" x14ac:dyDescent="0.35">
      <c r="A2881" s="2" t="str">
        <f>CLEAN("SAUK")</f>
        <v>SAUK</v>
      </c>
      <c r="B2881" s="2" t="str">
        <f>CLEAN("TOWN OF WASHINGTON")</f>
        <v>TOWN OF WASHINGTON</v>
      </c>
      <c r="C2881" s="2" t="s">
        <v>1782</v>
      </c>
      <c r="D2881" s="2" t="str">
        <f>CLEAN("5855-00-03")</f>
        <v>5855-00-03</v>
      </c>
      <c r="E2881" s="3" t="str">
        <f>CLEAN("TOWN OF WASHINGTON  VILLAGE ROAD")</f>
        <v>TOWN OF WASHINGTON  VILLAGE ROAD</v>
      </c>
      <c r="F2881" s="3" t="str">
        <f>CLEAN("HILL POINT CREEK BRIDGE P-56-0928")</f>
        <v>HILL POINT CREEK BRIDGE P-56-0928</v>
      </c>
      <c r="G2881" s="3" t="str">
        <f>CLEAN("DESIGN/BRIDGE REPLACEMENT")</f>
        <v>DESIGN/BRIDGE REPLACEMENT</v>
      </c>
      <c r="H2881" s="2" t="str">
        <f t="shared" si="443"/>
        <v>LOC STR</v>
      </c>
      <c r="I2881" s="2" t="str">
        <f t="shared" ref="I2881:I2890" si="444">CLEAN("205")</f>
        <v>205</v>
      </c>
    </row>
    <row r="2882" spans="1:9" x14ac:dyDescent="0.35">
      <c r="A2882" s="2" t="str">
        <f>CLEAN("SAUK")</f>
        <v>SAUK</v>
      </c>
      <c r="B2882" s="2" t="str">
        <f>CLEAN("TOWN OF WASHINGTON")</f>
        <v>TOWN OF WASHINGTON</v>
      </c>
      <c r="C2882" s="2" t="s">
        <v>98</v>
      </c>
      <c r="D2882" s="2" t="str">
        <f>CLEAN("5855-00-73")</f>
        <v>5855-00-73</v>
      </c>
      <c r="E2882" s="3" t="str">
        <f>CLEAN("TOWN OF WASHINGTON  VILLAGE ROAD")</f>
        <v>TOWN OF WASHINGTON  VILLAGE ROAD</v>
      </c>
      <c r="F2882" s="3" t="str">
        <f>CLEAN("HILL POINT CREEK BRIDGE B-56-0250")</f>
        <v>HILL POINT CREEK BRIDGE B-56-0250</v>
      </c>
      <c r="G2882" s="3" t="str">
        <f>CLEAN("CONST OPS/BRIDGE REPLACEMENT")</f>
        <v>CONST OPS/BRIDGE REPLACEMENT</v>
      </c>
      <c r="H2882" s="2" t="str">
        <f t="shared" si="443"/>
        <v>LOC STR</v>
      </c>
      <c r="I2882" s="2" t="str">
        <f t="shared" si="444"/>
        <v>205</v>
      </c>
    </row>
    <row r="2883" spans="1:9" x14ac:dyDescent="0.35">
      <c r="A2883" s="2" t="str">
        <f>CLEAN("MARINETTE")</f>
        <v>MARINETTE</v>
      </c>
      <c r="B2883" s="2" t="str">
        <f>CLEAN("TOWN OF WAUSAUKEE")</f>
        <v>TOWN OF WAUSAUKEE</v>
      </c>
      <c r="C2883" s="2" t="s">
        <v>1889</v>
      </c>
      <c r="D2883" s="2" t="str">
        <f>CLEAN("9236-03-72")</f>
        <v>9236-03-72</v>
      </c>
      <c r="E2883" s="3" t="str">
        <f>CLEAN("T WAUSAUKEE  GLENDALE ROAD")</f>
        <v>T WAUSAUKEE  GLENDALE ROAD</v>
      </c>
      <c r="F2883" s="3" t="str">
        <f>CLEAN("WAUSAUKEE RIVER BRIDGE")</f>
        <v>WAUSAUKEE RIVER BRIDGE</v>
      </c>
      <c r="G2883" s="3" t="str">
        <f>CLEAN("DESIGN/FULL PSE/BRBPL/P-38-0919")</f>
        <v>DESIGN/FULL PSE/BRBPL/P-38-0919</v>
      </c>
      <c r="H2883" s="2" t="str">
        <f t="shared" si="443"/>
        <v>LOC STR</v>
      </c>
      <c r="I2883" s="2" t="str">
        <f t="shared" si="444"/>
        <v>205</v>
      </c>
    </row>
    <row r="2884" spans="1:9" x14ac:dyDescent="0.35">
      <c r="A2884" s="2" t="str">
        <f>CLEAN("MARINETTE")</f>
        <v>MARINETTE</v>
      </c>
      <c r="B2884" s="2" t="str">
        <f>CLEAN("TOWN OF WAUSAUKEE")</f>
        <v>TOWN OF WAUSAUKEE</v>
      </c>
      <c r="C2884" s="2" t="s">
        <v>170</v>
      </c>
      <c r="D2884" s="2" t="str">
        <f>CLEAN("9236-03-73")</f>
        <v>9236-03-73</v>
      </c>
      <c r="E2884" s="3" t="str">
        <f>CLEAN("T WAUSAUKEE  GLENDALE ROAD")</f>
        <v>T WAUSAUKEE  GLENDALE ROAD</v>
      </c>
      <c r="F2884" s="3" t="str">
        <f>CLEAN("WAUSAUKEE RIVER BRIDGE")</f>
        <v>WAUSAUKEE RIVER BRIDGE</v>
      </c>
      <c r="G2884" s="3" t="str">
        <f>CLEAN("CONST OPS/BRRPL/B380152")</f>
        <v>CONST OPS/BRRPL/B380152</v>
      </c>
      <c r="H2884" s="2" t="str">
        <f t="shared" si="443"/>
        <v>LOC STR</v>
      </c>
      <c r="I2884" s="2" t="str">
        <f t="shared" si="444"/>
        <v>205</v>
      </c>
    </row>
    <row r="2885" spans="1:9" x14ac:dyDescent="0.35">
      <c r="A2885" s="2" t="str">
        <f t="shared" ref="A2885:A2890" si="445">CLEAN("WASHINGTON")</f>
        <v>WASHINGTON</v>
      </c>
      <c r="B2885" s="2" t="str">
        <f t="shared" ref="B2885:B2890" si="446">CLEAN("TOWN OF WAYNE")</f>
        <v>TOWN OF WAYNE</v>
      </c>
      <c r="C2885" s="2" t="s">
        <v>2688</v>
      </c>
      <c r="D2885" s="2" t="str">
        <f>CLEAN("4823-07-01")</f>
        <v>4823-07-01</v>
      </c>
      <c r="E2885" s="3" t="str">
        <f>CLEAN("T WAYNE  WEST BEND ROAD")</f>
        <v>T WAYNE  WEST BEND ROAD</v>
      </c>
      <c r="F2885" s="3" t="str">
        <f>CLEAN("OVR BR OF E BR ROCK RIVER P66-0052")</f>
        <v>OVR BR OF E BR ROCK RIVER P66-0052</v>
      </c>
      <c r="G2885" s="3" t="str">
        <f>CLEAN("PE/FULL PS&amp;E ROW/BRIDGE REPLACEMENT")</f>
        <v>PE/FULL PS&amp;E ROW/BRIDGE REPLACEMENT</v>
      </c>
      <c r="H2885" s="2" t="str">
        <f t="shared" si="443"/>
        <v>LOC STR</v>
      </c>
      <c r="I2885" s="2" t="str">
        <f t="shared" si="444"/>
        <v>205</v>
      </c>
    </row>
    <row r="2886" spans="1:9" x14ac:dyDescent="0.35">
      <c r="A2886" s="2" t="str">
        <f t="shared" si="445"/>
        <v>WASHINGTON</v>
      </c>
      <c r="B2886" s="2" t="str">
        <f t="shared" si="446"/>
        <v>TOWN OF WAYNE</v>
      </c>
      <c r="C2886" s="2" t="s">
        <v>2843</v>
      </c>
      <c r="D2886" s="2" t="str">
        <f>CLEAN("4823-05-00")</f>
        <v>4823-05-00</v>
      </c>
      <c r="E2886" s="3" t="str">
        <f>CLEAN("T WAYNE  MIDLAND DR")</f>
        <v>T WAYNE  MIDLAND DR</v>
      </c>
      <c r="F2886" s="3" t="str">
        <f>CLEAN("OVER KOHLSVILLE RIVER P66-0054")</f>
        <v>OVER KOHLSVILLE RIVER P66-0054</v>
      </c>
      <c r="G2886" s="3" t="str">
        <f>CLEAN("PE/FULL PSE/BRRPL")</f>
        <v>PE/FULL PSE/BRRPL</v>
      </c>
      <c r="H2886" s="2" t="str">
        <f t="shared" si="443"/>
        <v>LOC STR</v>
      </c>
      <c r="I2886" s="2" t="str">
        <f t="shared" si="444"/>
        <v>205</v>
      </c>
    </row>
    <row r="2887" spans="1:9" x14ac:dyDescent="0.35">
      <c r="A2887" s="2" t="str">
        <f t="shared" si="445"/>
        <v>WASHINGTON</v>
      </c>
      <c r="B2887" s="2" t="str">
        <f t="shared" si="446"/>
        <v>TOWN OF WAYNE</v>
      </c>
      <c r="C2887" s="2" t="s">
        <v>511</v>
      </c>
      <c r="D2887" s="2" t="str">
        <f>CLEAN("4823-05-70")</f>
        <v>4823-05-70</v>
      </c>
      <c r="E2887" s="3" t="str">
        <f>CLEAN("T WAYNE  MIDLAND DR")</f>
        <v>T WAYNE  MIDLAND DR</v>
      </c>
      <c r="F2887" s="3" t="str">
        <f>CLEAN("OVER KOHLSVILLE RIVER P66-0054")</f>
        <v>OVER KOHLSVILLE RIVER P66-0054</v>
      </c>
      <c r="G2887" s="3" t="str">
        <f>CLEAN("CONST/BRRPL")</f>
        <v>CONST/BRRPL</v>
      </c>
      <c r="H2887" s="2" t="str">
        <f t="shared" si="443"/>
        <v>LOC STR</v>
      </c>
      <c r="I2887" s="2" t="str">
        <f t="shared" si="444"/>
        <v>205</v>
      </c>
    </row>
    <row r="2888" spans="1:9" x14ac:dyDescent="0.35">
      <c r="A2888" s="2" t="str">
        <f t="shared" si="445"/>
        <v>WASHINGTON</v>
      </c>
      <c r="B2888" s="2" t="str">
        <f t="shared" si="446"/>
        <v>TOWN OF WAYNE</v>
      </c>
      <c r="C2888" s="2" t="s">
        <v>2686</v>
      </c>
      <c r="D2888" s="2" t="str">
        <f>CLEAN("4823-07-00")</f>
        <v>4823-07-00</v>
      </c>
      <c r="E2888" s="3" t="str">
        <f>CLEAN("T WAYNE  BEECHNUT DRIVE")</f>
        <v>T WAYNE  BEECHNUT DRIVE</v>
      </c>
      <c r="F2888" s="3" t="str">
        <f>CLEAN("BRIDGE OVER KOHLSVILLE RIVER P6647")</f>
        <v>BRIDGE OVER KOHLSVILLE RIVER P6647</v>
      </c>
      <c r="G2888" s="3" t="str">
        <f>CLEAN("PE/FULL PS&amp;E ROW/BRIDGE REPLACEMENT")</f>
        <v>PE/FULL PS&amp;E ROW/BRIDGE REPLACEMENT</v>
      </c>
      <c r="H2888" s="2" t="str">
        <f t="shared" si="443"/>
        <v>LOC STR</v>
      </c>
      <c r="I2888" s="2" t="str">
        <f t="shared" si="444"/>
        <v>205</v>
      </c>
    </row>
    <row r="2889" spans="1:9" x14ac:dyDescent="0.35">
      <c r="A2889" s="2" t="str">
        <f t="shared" si="445"/>
        <v>WASHINGTON</v>
      </c>
      <c r="B2889" s="2" t="str">
        <f t="shared" si="446"/>
        <v>TOWN OF WAYNE</v>
      </c>
      <c r="C2889" s="2" t="s">
        <v>376</v>
      </c>
      <c r="D2889" s="2" t="str">
        <f>CLEAN("4823-07-70")</f>
        <v>4823-07-70</v>
      </c>
      <c r="E2889" s="3" t="str">
        <f>CLEAN("T WAYNE  BEECHNUT DRIVE")</f>
        <v>T WAYNE  BEECHNUT DRIVE</v>
      </c>
      <c r="F2889" s="3" t="str">
        <f>CLEAN("BRIDGE OVER KOHLSVILLE RIVER P6647")</f>
        <v>BRIDGE OVER KOHLSVILLE RIVER P6647</v>
      </c>
      <c r="G2889" s="3" t="str">
        <f>CLEAN("CONST/BRIDE REPLACEMENT")</f>
        <v>CONST/BRIDE REPLACEMENT</v>
      </c>
      <c r="H2889" s="2" t="str">
        <f t="shared" si="443"/>
        <v>LOC STR</v>
      </c>
      <c r="I2889" s="2" t="str">
        <f t="shared" si="444"/>
        <v>205</v>
      </c>
    </row>
    <row r="2890" spans="1:9" x14ac:dyDescent="0.35">
      <c r="A2890" s="2" t="str">
        <f t="shared" si="445"/>
        <v>WASHINGTON</v>
      </c>
      <c r="B2890" s="2" t="str">
        <f t="shared" si="446"/>
        <v>TOWN OF WAYNE</v>
      </c>
      <c r="C2890" s="2" t="s">
        <v>459</v>
      </c>
      <c r="D2890" s="2" t="str">
        <f>CLEAN("4823-07-71")</f>
        <v>4823-07-71</v>
      </c>
      <c r="E2890" s="3" t="str">
        <f>CLEAN("T WAYNE  W BEND ROAD")</f>
        <v>T WAYNE  W BEND ROAD</v>
      </c>
      <c r="F2890" s="3" t="str">
        <f>CLEAN("OVR BR OF E BR ROCK RIVER P66-0052")</f>
        <v>OVR BR OF E BR ROCK RIVER P66-0052</v>
      </c>
      <c r="G2890" s="3" t="str">
        <f>CLEAN("CONST/BRIDGE REPLACEMENT")</f>
        <v>CONST/BRIDGE REPLACEMENT</v>
      </c>
      <c r="H2890" s="2" t="str">
        <f t="shared" si="443"/>
        <v>LOC STR</v>
      </c>
      <c r="I2890" s="2" t="str">
        <f t="shared" si="444"/>
        <v>205</v>
      </c>
    </row>
    <row r="2891" spans="1:9" x14ac:dyDescent="0.35">
      <c r="A2891" s="2" t="str">
        <f>CLEAN("WALWORTH")</f>
        <v>WALWORTH</v>
      </c>
      <c r="B2891" s="2" t="str">
        <f>CLEAN("TOWN OF WHITEWATER")</f>
        <v>TOWN OF WHITEWATER</v>
      </c>
      <c r="C2891" s="2" t="s">
        <v>2879</v>
      </c>
      <c r="D2891" s="2" t="str">
        <f>CLEAN("3835-02-01")</f>
        <v>3835-02-01</v>
      </c>
      <c r="E2891" s="3" t="str">
        <f>CLEAN("T WHITEWATER  HOWARD RD")</f>
        <v>T WHITEWATER  HOWARD RD</v>
      </c>
      <c r="F2891" s="3" t="str">
        <f>CLEAN("COX ROAD TO BLUFF ROAD")</f>
        <v>COX ROAD TO BLUFF ROAD</v>
      </c>
      <c r="G2891" s="3" t="str">
        <f>CLEAN("PE/FULL PSE/RECST")</f>
        <v>PE/FULL PSE/RECST</v>
      </c>
      <c r="H2891" s="2" t="str">
        <f t="shared" si="443"/>
        <v>LOC STR</v>
      </c>
      <c r="I2891" s="2" t="str">
        <f>CLEAN("206")</f>
        <v>206</v>
      </c>
    </row>
    <row r="2892" spans="1:9" x14ac:dyDescent="0.35">
      <c r="A2892" s="2" t="str">
        <f>CLEAN("MARATHON")</f>
        <v>MARATHON</v>
      </c>
      <c r="B2892" s="2" t="str">
        <f>CLEAN("TOWN OF WIEN")</f>
        <v>TOWN OF WIEN</v>
      </c>
      <c r="C2892" s="2" t="s">
        <v>2000</v>
      </c>
      <c r="D2892" s="2" t="str">
        <f>CLEAN("6672-01-01")</f>
        <v>6672-01-01</v>
      </c>
      <c r="E2892" s="3" t="str">
        <f>CLEAN("T WIEN  ASPEN DRIVE")</f>
        <v>T WIEN  ASPEN DRIVE</v>
      </c>
      <c r="F2892" s="3" t="str">
        <f>CLEAN("SCOTCH CREEK BRIDGE  P-37-0951")</f>
        <v>SCOTCH CREEK BRIDGE  P-37-0951</v>
      </c>
      <c r="G2892" s="3" t="str">
        <f>CLEAN("DESIGN/FULL PSE/REPLACEMENT")</f>
        <v>DESIGN/FULL PSE/REPLACEMENT</v>
      </c>
      <c r="H2892" s="2" t="str">
        <f t="shared" si="443"/>
        <v>LOC STR</v>
      </c>
      <c r="I2892" s="2" t="str">
        <f t="shared" ref="I2892:I2906" si="447">CLEAN("205")</f>
        <v>205</v>
      </c>
    </row>
    <row r="2893" spans="1:9" x14ac:dyDescent="0.35">
      <c r="A2893" s="2" t="str">
        <f>CLEAN("MARATHON")</f>
        <v>MARATHON</v>
      </c>
      <c r="B2893" s="2" t="str">
        <f>CLEAN("TOWN OF WIEN")</f>
        <v>TOWN OF WIEN</v>
      </c>
      <c r="C2893" s="2" t="s">
        <v>2001</v>
      </c>
      <c r="D2893" s="2" t="str">
        <f>CLEAN("6672-01-00")</f>
        <v>6672-01-00</v>
      </c>
      <c r="E2893" s="3" t="str">
        <f>CLEAN("T WIEN  CHESAK ROAD")</f>
        <v>T WIEN  CHESAK ROAD</v>
      </c>
      <c r="F2893" s="3" t="str">
        <f>CLEAN("SCOTCH CREEK BRIDGE  P-37-0957")</f>
        <v>SCOTCH CREEK BRIDGE  P-37-0957</v>
      </c>
      <c r="G2893" s="3" t="str">
        <f>CLEAN("DESIGN/FULL PSE/REPLACEMENT")</f>
        <v>DESIGN/FULL PSE/REPLACEMENT</v>
      </c>
      <c r="H2893" s="2" t="str">
        <f t="shared" si="443"/>
        <v>LOC STR</v>
      </c>
      <c r="I2893" s="2" t="str">
        <f t="shared" si="447"/>
        <v>205</v>
      </c>
    </row>
    <row r="2894" spans="1:9" x14ac:dyDescent="0.35">
      <c r="A2894" s="2" t="str">
        <f>CLEAN("MARATHON")</f>
        <v>MARATHON</v>
      </c>
      <c r="B2894" s="2" t="str">
        <f>CLEAN("TOWN OF WIEN")</f>
        <v>TOWN OF WIEN</v>
      </c>
      <c r="C2894" s="2" t="s">
        <v>928</v>
      </c>
      <c r="D2894" s="2" t="str">
        <f>CLEAN("6672-01-70")</f>
        <v>6672-01-70</v>
      </c>
      <c r="E2894" s="3" t="str">
        <f>CLEAN("T WIEN  CHESAK ROAD")</f>
        <v>T WIEN  CHESAK ROAD</v>
      </c>
      <c r="F2894" s="3" t="str">
        <f>CLEAN("SCOTCH CREEK BRIDGE  B-37-0499")</f>
        <v>SCOTCH CREEK BRIDGE  B-37-0499</v>
      </c>
      <c r="G2894" s="3" t="str">
        <f>CLEAN("CONST/REPLACEMENT")</f>
        <v>CONST/REPLACEMENT</v>
      </c>
      <c r="H2894" s="2" t="str">
        <f t="shared" si="443"/>
        <v>LOC STR</v>
      </c>
      <c r="I2894" s="2" t="str">
        <f t="shared" si="447"/>
        <v>205</v>
      </c>
    </row>
    <row r="2895" spans="1:9" x14ac:dyDescent="0.35">
      <c r="A2895" s="2" t="str">
        <f>CLEAN("SAUK")</f>
        <v>SAUK</v>
      </c>
      <c r="B2895" s="2" t="str">
        <f>CLEAN("TOWN OF WINFIELD")</f>
        <v>TOWN OF WINFIELD</v>
      </c>
      <c r="C2895" s="2" t="s">
        <v>1781</v>
      </c>
      <c r="D2895" s="2" t="str">
        <f>CLEAN("5322-00-01")</f>
        <v>5322-00-01</v>
      </c>
      <c r="E2895" s="3" t="str">
        <f>CLEAN("TOWN OF WINFIELD  BASS ROAD")</f>
        <v>TOWN OF WINFIELD  BASS ROAD</v>
      </c>
      <c r="F2895" s="3" t="str">
        <f>CLEAN("HAY CREEK BRIDGE P-56-0931")</f>
        <v>HAY CREEK BRIDGE P-56-0931</v>
      </c>
      <c r="G2895" s="3" t="str">
        <f>CLEAN("DESIGN/BRIDGE REPLACEMENT")</f>
        <v>DESIGN/BRIDGE REPLACEMENT</v>
      </c>
      <c r="H2895" s="2" t="str">
        <f t="shared" si="443"/>
        <v>LOC STR</v>
      </c>
      <c r="I2895" s="2" t="str">
        <f t="shared" si="447"/>
        <v>205</v>
      </c>
    </row>
    <row r="2896" spans="1:9" x14ac:dyDescent="0.35">
      <c r="A2896" s="2" t="str">
        <f>CLEAN("CLARK")</f>
        <v>CLARK</v>
      </c>
      <c r="B2896" s="2" t="str">
        <f>CLEAN("TOWN OF WITHEE")</f>
        <v>TOWN OF WITHEE</v>
      </c>
      <c r="C2896" s="2" t="s">
        <v>2330</v>
      </c>
      <c r="D2896" s="2" t="str">
        <f>CLEAN("8883-00-00")</f>
        <v>8883-00-00</v>
      </c>
      <c r="E2896" s="3" t="str">
        <f>CLEAN("T WITHEE  PINE ROAD")</f>
        <v>T WITHEE  PINE ROAD</v>
      </c>
      <c r="F2896" s="3" t="str">
        <f>CLEAN("S FK EAU CLAIRE R BRIDGE P-10-0083")</f>
        <v>S FK EAU CLAIRE R BRIDGE P-10-0083</v>
      </c>
      <c r="G2896" s="3" t="str">
        <f>CLEAN("DESIGN-FULL PS&amp;E/BRIDGE REPLACEMENT")</f>
        <v>DESIGN-FULL PS&amp;E/BRIDGE REPLACEMENT</v>
      </c>
      <c r="H2896" s="2" t="str">
        <f t="shared" si="443"/>
        <v>LOC STR</v>
      </c>
      <c r="I2896" s="2" t="str">
        <f t="shared" si="447"/>
        <v>205</v>
      </c>
    </row>
    <row r="2897" spans="1:9" x14ac:dyDescent="0.35">
      <c r="A2897" s="2" t="str">
        <f>CLEAN("CLARK")</f>
        <v>CLARK</v>
      </c>
      <c r="B2897" s="2" t="str">
        <f>CLEAN("TOWN OF WITHEE")</f>
        <v>TOWN OF WITHEE</v>
      </c>
      <c r="C2897" s="2" t="s">
        <v>1204</v>
      </c>
      <c r="D2897" s="2" t="str">
        <f>CLEAN("8883-00-70")</f>
        <v>8883-00-70</v>
      </c>
      <c r="E2897" s="3" t="str">
        <f>CLEAN("T WITHEE  PINE ROAD")</f>
        <v>T WITHEE  PINE ROAD</v>
      </c>
      <c r="F2897" s="3" t="str">
        <f>CLEAN("S FK EAU CLAIRE R BRIDGE B-10-0262")</f>
        <v>S FK EAU CLAIRE R BRIDGE B-10-0262</v>
      </c>
      <c r="G2897" s="3" t="str">
        <f>CLEAN("CONSTRUCTION/BRIDGE REPLACEMENT")</f>
        <v>CONSTRUCTION/BRIDGE REPLACEMENT</v>
      </c>
      <c r="H2897" s="2" t="str">
        <f t="shared" si="443"/>
        <v>LOC STR</v>
      </c>
      <c r="I2897" s="2" t="str">
        <f t="shared" si="447"/>
        <v>205</v>
      </c>
    </row>
    <row r="2898" spans="1:9" x14ac:dyDescent="0.35">
      <c r="A2898" s="2" t="str">
        <f>CLEAN("SHAWANO")</f>
        <v>SHAWANO</v>
      </c>
      <c r="B2898" s="2" t="str">
        <f>CLEAN("TOWN OF WITTENBERG")</f>
        <v>TOWN OF WITTENBERG</v>
      </c>
      <c r="C2898" s="2" t="s">
        <v>1978</v>
      </c>
      <c r="D2898" s="2" t="str">
        <f>CLEAN("6107-00-00")</f>
        <v>6107-00-00</v>
      </c>
      <c r="E2898" s="3" t="str">
        <f>CLEAN("T WITTENBERG  ROBIN ROAD")</f>
        <v>T WITTENBERG  ROBIN ROAD</v>
      </c>
      <c r="F2898" s="3" t="str">
        <f>CLEAN("MIDDLE BR EMBARRASS RVR P580078")</f>
        <v>MIDDLE BR EMBARRASS RVR P580078</v>
      </c>
      <c r="G2898" s="3" t="str">
        <f>CLEAN("DESIGN/FULL PSE/REPLACEMENT")</f>
        <v>DESIGN/FULL PSE/REPLACEMENT</v>
      </c>
      <c r="H2898" s="2" t="str">
        <f t="shared" si="443"/>
        <v>LOC STR</v>
      </c>
      <c r="I2898" s="2" t="str">
        <f t="shared" si="447"/>
        <v>205</v>
      </c>
    </row>
    <row r="2899" spans="1:9" x14ac:dyDescent="0.35">
      <c r="A2899" s="2" t="str">
        <f>CLEAN("SHAWANO")</f>
        <v>SHAWANO</v>
      </c>
      <c r="B2899" s="2" t="str">
        <f>CLEAN("TOWN OF WITTENBERG")</f>
        <v>TOWN OF WITTENBERG</v>
      </c>
      <c r="C2899" s="2" t="s">
        <v>1995</v>
      </c>
      <c r="D2899" s="2" t="str">
        <f>CLEAN("6107-00-01")</f>
        <v>6107-00-01</v>
      </c>
      <c r="E2899" s="3" t="str">
        <f>CLEAN("T WITTENBERG  MEADOW LARK ROAD")</f>
        <v>T WITTENBERG  MEADOW LARK ROAD</v>
      </c>
      <c r="F2899" s="3" t="str">
        <f>CLEAN("S BR EMBARRASS RIVER BRIDGE P580079")</f>
        <v>S BR EMBARRASS RIVER BRIDGE P580079</v>
      </c>
      <c r="G2899" s="3" t="str">
        <f>CLEAN("DESIGN/FULL PSE/REPLACEMENT")</f>
        <v>DESIGN/FULL PSE/REPLACEMENT</v>
      </c>
      <c r="H2899" s="2" t="str">
        <f t="shared" si="443"/>
        <v>LOC STR</v>
      </c>
      <c r="I2899" s="2" t="str">
        <f t="shared" si="447"/>
        <v>205</v>
      </c>
    </row>
    <row r="2900" spans="1:9" x14ac:dyDescent="0.35">
      <c r="A2900" s="2" t="str">
        <f>CLEAN("WINNEBAGO")</f>
        <v>WINNEBAGO</v>
      </c>
      <c r="B2900" s="2" t="str">
        <f>CLEAN("TOWN OF WOLF RIVER")</f>
        <v>TOWN OF WOLF RIVER</v>
      </c>
      <c r="C2900" s="2" t="s">
        <v>2371</v>
      </c>
      <c r="D2900" s="2" t="str">
        <f>CLEAN("6446-01-00")</f>
        <v>6446-01-00</v>
      </c>
      <c r="E2900" s="3" t="str">
        <f>CLEAN("T WOLF RIVER  APACHE AVENUE")</f>
        <v>T WOLF RIVER  APACHE AVENUE</v>
      </c>
      <c r="F2900" s="3" t="str">
        <f>CLEAN("ALDER CREEK BRIDGE")</f>
        <v>ALDER CREEK BRIDGE</v>
      </c>
      <c r="G2900" s="3" t="str">
        <f>CLEAN("DSGN/FULL PSE/BRRPL P-70-0049")</f>
        <v>DSGN/FULL PSE/BRRPL P-70-0049</v>
      </c>
      <c r="H2900" s="2" t="str">
        <f t="shared" si="443"/>
        <v>LOC STR</v>
      </c>
      <c r="I2900" s="2" t="str">
        <f t="shared" si="447"/>
        <v>205</v>
      </c>
    </row>
    <row r="2901" spans="1:9" x14ac:dyDescent="0.35">
      <c r="A2901" s="2" t="str">
        <f>CLEAN("WINNEBAGO")</f>
        <v>WINNEBAGO</v>
      </c>
      <c r="B2901" s="2" t="str">
        <f>CLEAN("TOWN OF WOLF RIVER")</f>
        <v>TOWN OF WOLF RIVER</v>
      </c>
      <c r="C2901" s="2" t="s">
        <v>173</v>
      </c>
      <c r="D2901" s="2" t="str">
        <f>CLEAN("6446-01-70")</f>
        <v>6446-01-70</v>
      </c>
      <c r="E2901" s="3" t="str">
        <f>CLEAN("T WOLF RIVER  APACHE AVENUE")</f>
        <v>T WOLF RIVER  APACHE AVENUE</v>
      </c>
      <c r="F2901" s="3" t="str">
        <f>CLEAN("ALDER CREEK BRIDGE")</f>
        <v>ALDER CREEK BRIDGE</v>
      </c>
      <c r="G2901" s="3" t="str">
        <f>CLEAN("CONST OPS/BRRPL/B-70-0332")</f>
        <v>CONST OPS/BRRPL/B-70-0332</v>
      </c>
      <c r="H2901" s="2" t="str">
        <f t="shared" si="443"/>
        <v>LOC STR</v>
      </c>
      <c r="I2901" s="2" t="str">
        <f t="shared" si="447"/>
        <v>205</v>
      </c>
    </row>
    <row r="2902" spans="1:9" x14ac:dyDescent="0.35">
      <c r="A2902" s="2" t="str">
        <f>CLEAN("LANGLADE")</f>
        <v>LANGLADE</v>
      </c>
      <c r="B2902" s="2" t="str">
        <f>CLEAN("TOWN OF WOLF RIVER")</f>
        <v>TOWN OF WOLF RIVER</v>
      </c>
      <c r="C2902" s="2" t="s">
        <v>1966</v>
      </c>
      <c r="D2902" s="2" t="str">
        <f>CLEAN("9849-00-00")</f>
        <v>9849-00-00</v>
      </c>
      <c r="E2902" s="3" t="str">
        <f>CLEAN("T WOLF RIVER  TOWN LINE ROAD")</f>
        <v>T WOLF RIVER  TOWN LINE ROAD</v>
      </c>
      <c r="F2902" s="3" t="str">
        <f>CLEAN("EVERGREEN RIVER BRIDGE  P-34-0903")</f>
        <v>EVERGREEN RIVER BRIDGE  P-34-0903</v>
      </c>
      <c r="G2902" s="3" t="str">
        <f>CLEAN("DESIGN/FULL PSE/REPLACEMENT")</f>
        <v>DESIGN/FULL PSE/REPLACEMENT</v>
      </c>
      <c r="H2902" s="2" t="str">
        <f t="shared" si="443"/>
        <v>LOC STR</v>
      </c>
      <c r="I2902" s="2" t="str">
        <f t="shared" si="447"/>
        <v>205</v>
      </c>
    </row>
    <row r="2903" spans="1:9" x14ac:dyDescent="0.35">
      <c r="A2903" s="2" t="str">
        <f>CLEAN("SAUK")</f>
        <v>SAUK</v>
      </c>
      <c r="B2903" s="2" t="str">
        <f>CLEAN("TOWN OF WOODLAND")</f>
        <v>TOWN OF WOODLAND</v>
      </c>
      <c r="C2903" s="2" t="s">
        <v>1758</v>
      </c>
      <c r="D2903" s="2" t="str">
        <f>CLEAN("5738-00-04")</f>
        <v>5738-00-04</v>
      </c>
      <c r="E2903" s="3" t="str">
        <f>CLEAN("T WOODLAND  DAVID DRIVE")</f>
        <v>T WOODLAND  DAVID DRIVE</v>
      </c>
      <c r="F2903" s="3" t="str">
        <f>CLEAN("BR PLUM CREEK BRIDGE P-56-0933")</f>
        <v>BR PLUM CREEK BRIDGE P-56-0933</v>
      </c>
      <c r="G2903" s="3" t="str">
        <f>CLEAN("DESIGN/BRIDGE REPLACEMENT")</f>
        <v>DESIGN/BRIDGE REPLACEMENT</v>
      </c>
      <c r="H2903" s="2" t="str">
        <f t="shared" si="443"/>
        <v>LOC STR</v>
      </c>
      <c r="I2903" s="2" t="str">
        <f t="shared" si="447"/>
        <v>205</v>
      </c>
    </row>
    <row r="2904" spans="1:9" x14ac:dyDescent="0.35">
      <c r="A2904" s="2" t="str">
        <f>CLEAN("SAUK")</f>
        <v>SAUK</v>
      </c>
      <c r="B2904" s="2" t="str">
        <f>CLEAN("TOWN OF WOODLAND")</f>
        <v>TOWN OF WOODLAND</v>
      </c>
      <c r="C2904" s="2" t="s">
        <v>1792</v>
      </c>
      <c r="D2904" s="2" t="str">
        <f>CLEAN("5738-00-05")</f>
        <v>5738-00-05</v>
      </c>
      <c r="E2904" s="3" t="str">
        <f>CLEAN("T WOODLAND  ROTT ROAD")</f>
        <v>T WOODLAND  ROTT ROAD</v>
      </c>
      <c r="F2904" s="3" t="str">
        <f>CLEAN("LITTLE BARABOO RVR BRIDGE P-56-0948")</f>
        <v>LITTLE BARABOO RVR BRIDGE P-56-0948</v>
      </c>
      <c r="G2904" s="3" t="str">
        <f>CLEAN("DESIGN/BRIDGE REPLACEMENT")</f>
        <v>DESIGN/BRIDGE REPLACEMENT</v>
      </c>
      <c r="H2904" s="2" t="str">
        <f t="shared" si="443"/>
        <v>LOC STR</v>
      </c>
      <c r="I2904" s="2" t="str">
        <f t="shared" si="447"/>
        <v>205</v>
      </c>
    </row>
    <row r="2905" spans="1:9" x14ac:dyDescent="0.35">
      <c r="A2905" s="2" t="str">
        <f>CLEAN("SAUK")</f>
        <v>SAUK</v>
      </c>
      <c r="B2905" s="2" t="str">
        <f>CLEAN("TOWN OF WOODLAND")</f>
        <v>TOWN OF WOODLAND</v>
      </c>
      <c r="C2905" s="2" t="s">
        <v>410</v>
      </c>
      <c r="D2905" s="2" t="str">
        <f>CLEAN("5738-00-74")</f>
        <v>5738-00-74</v>
      </c>
      <c r="E2905" s="3" t="str">
        <f>CLEAN("T WOODLAND  DAVID DRIVE")</f>
        <v>T WOODLAND  DAVID DRIVE</v>
      </c>
      <c r="F2905" s="3" t="str">
        <f>CLEAN("BR PLUM CREEK BRIDGE B-56-0256")</f>
        <v>BR PLUM CREEK BRIDGE B-56-0256</v>
      </c>
      <c r="G2905" s="3" t="str">
        <f>CLEAN("CONST/BRIDGE REPLACEMENT")</f>
        <v>CONST/BRIDGE REPLACEMENT</v>
      </c>
      <c r="H2905" s="2" t="str">
        <f t="shared" si="443"/>
        <v>LOC STR</v>
      </c>
      <c r="I2905" s="2" t="str">
        <f t="shared" si="447"/>
        <v>205</v>
      </c>
    </row>
    <row r="2906" spans="1:9" x14ac:dyDescent="0.35">
      <c r="A2906" s="2" t="str">
        <f>CLEAN("SAUK")</f>
        <v>SAUK</v>
      </c>
      <c r="B2906" s="2" t="str">
        <f>CLEAN("TOWN OF WOODLAND")</f>
        <v>TOWN OF WOODLAND</v>
      </c>
      <c r="C2906" s="2" t="s">
        <v>450</v>
      </c>
      <c r="D2906" s="2" t="str">
        <f>CLEAN("5738-00-75")</f>
        <v>5738-00-75</v>
      </c>
      <c r="E2906" s="3" t="str">
        <f>CLEAN("T WOODLAND  ROTT ROAD")</f>
        <v>T WOODLAND  ROTT ROAD</v>
      </c>
      <c r="F2906" s="3" t="str">
        <f>CLEAN("LITTLE BARABOO RVR BRIDGE B-56-0257")</f>
        <v>LITTLE BARABOO RVR BRIDGE B-56-0257</v>
      </c>
      <c r="G2906" s="3" t="str">
        <f>CLEAN("CONST/BRIDGE REPLACEMENT")</f>
        <v>CONST/BRIDGE REPLACEMENT</v>
      </c>
      <c r="H2906" s="2" t="str">
        <f t="shared" si="443"/>
        <v>LOC STR</v>
      </c>
      <c r="I2906" s="2" t="str">
        <f t="shared" si="447"/>
        <v>205</v>
      </c>
    </row>
    <row r="2907" spans="1:9" x14ac:dyDescent="0.35">
      <c r="A2907" s="2" t="str">
        <f>CLEAN("ONEIDA")</f>
        <v>ONEIDA</v>
      </c>
      <c r="B2907" s="2" t="str">
        <f>CLEAN("TOWN OF WOODRUFF")</f>
        <v>TOWN OF WOODRUFF</v>
      </c>
      <c r="C2907" s="2" t="s">
        <v>947</v>
      </c>
      <c r="D2907" s="2" t="str">
        <f>CLEAN("9050-03-71")</f>
        <v>9050-03-71</v>
      </c>
      <c r="E2907" s="3" t="str">
        <f>CLEAN("RHINELANDER - WOODRUFF")</f>
        <v>RHINELANDER - WOODRUFF</v>
      </c>
      <c r="F2907" s="3" t="str">
        <f>CLEAN("KILDEER ROAD TO VILAS COUNTY LINE")</f>
        <v>KILDEER ROAD TO VILAS COUNTY LINE</v>
      </c>
      <c r="G2907" s="3" t="str">
        <f>CLEAN("CONST/RESURF10 FAST TRACK")</f>
        <v>CONST/RESURF10 FAST TRACK</v>
      </c>
      <c r="H2907" s="2" t="str">
        <f>CLEAN("STH 047")</f>
        <v>STH 047</v>
      </c>
      <c r="I2907" s="2" t="str">
        <f>CLEAN("303")</f>
        <v>303</v>
      </c>
    </row>
    <row r="2908" spans="1:9" x14ac:dyDescent="0.35">
      <c r="A2908" s="2" t="str">
        <f>CLEAN("PRICE")</f>
        <v>PRICE</v>
      </c>
      <c r="B2908" s="2" t="str">
        <f>CLEAN("TOWN OF WORCESTER")</f>
        <v>TOWN OF WORCESTER</v>
      </c>
      <c r="C2908" s="2" t="s">
        <v>1946</v>
      </c>
      <c r="D2908" s="2" t="str">
        <f>CLEAN("9894-00-02")</f>
        <v>9894-00-02</v>
      </c>
      <c r="E2908" s="3" t="str">
        <f>CLEAN("T WORCESTER  BRIDGE P-50-0060")</f>
        <v>T WORCESTER  BRIDGE P-50-0060</v>
      </c>
      <c r="F2908" s="3" t="str">
        <f>CLEAN("AABAJIJIWANI-ZIIBIINSING CRK BRIDGE")</f>
        <v>AABAJIJIWANI-ZIIBIINSING CRK BRIDGE</v>
      </c>
      <c r="G2908" s="3" t="str">
        <f>CLEAN("DESIGN/FULL PSE/REPLACEMENT")</f>
        <v>DESIGN/FULL PSE/REPLACEMENT</v>
      </c>
      <c r="H2908" s="2" t="str">
        <f t="shared" ref="H2908:H2913" si="448">CLEAN("LOC STR")</f>
        <v>LOC STR</v>
      </c>
      <c r="I2908" s="2" t="str">
        <f t="shared" ref="I2908:I2915" si="449">CLEAN("205")</f>
        <v>205</v>
      </c>
    </row>
    <row r="2909" spans="1:9" x14ac:dyDescent="0.35">
      <c r="A2909" s="2" t="str">
        <f>CLEAN("PRICE")</f>
        <v>PRICE</v>
      </c>
      <c r="B2909" s="2" t="str">
        <f>CLEAN("TOWN OF WORCESTER")</f>
        <v>TOWN OF WORCESTER</v>
      </c>
      <c r="C2909" s="2" t="s">
        <v>875</v>
      </c>
      <c r="D2909" s="2" t="str">
        <f>CLEAN("9894-00-72")</f>
        <v>9894-00-72</v>
      </c>
      <c r="E2909" s="3" t="str">
        <f>CLEAN("T WORCESTER  BRIDGE B-50-0096")</f>
        <v>T WORCESTER  BRIDGE B-50-0096</v>
      </c>
      <c r="F2909" s="3" t="str">
        <f>CLEAN("AABAJIJIWANI-ZIIBIINSING CRK BRIDGE")</f>
        <v>AABAJIJIWANI-ZIIBIINSING CRK BRIDGE</v>
      </c>
      <c r="G2909" s="3" t="str">
        <f>CLEAN("CONST/REPLACEMENT")</f>
        <v>CONST/REPLACEMENT</v>
      </c>
      <c r="H2909" s="2" t="str">
        <f t="shared" si="448"/>
        <v>LOC STR</v>
      </c>
      <c r="I2909" s="2" t="str">
        <f t="shared" si="449"/>
        <v>205</v>
      </c>
    </row>
    <row r="2910" spans="1:9" x14ac:dyDescent="0.35">
      <c r="A2910" s="2" t="str">
        <f>CLEAN("CLARK")</f>
        <v>CLARK</v>
      </c>
      <c r="B2910" s="2" t="str">
        <f>CLEAN("TOWN OF WORDEN")</f>
        <v>TOWN OF WORDEN</v>
      </c>
      <c r="C2910" s="2" t="s">
        <v>1486</v>
      </c>
      <c r="D2910" s="2" t="str">
        <f>CLEAN("7833-00-01")</f>
        <v>7833-00-01</v>
      </c>
      <c r="E2910" s="3" t="str">
        <f>CLEAN("T WORDEN  WORDEN ROAD")</f>
        <v>T WORDEN  WORDEN ROAD</v>
      </c>
      <c r="F2910" s="3" t="str">
        <f>CLEAN("WOLF RIVER BRIDGE P-10-0097")</f>
        <v>WOLF RIVER BRIDGE P-10-0097</v>
      </c>
      <c r="G2910" s="3" t="str">
        <f>CLEAN("DESIGN - FULL PS&amp;E BRRPL")</f>
        <v>DESIGN - FULL PS&amp;E BRRPL</v>
      </c>
      <c r="H2910" s="2" t="str">
        <f t="shared" si="448"/>
        <v>LOC STR</v>
      </c>
      <c r="I2910" s="2" t="str">
        <f t="shared" si="449"/>
        <v>205</v>
      </c>
    </row>
    <row r="2911" spans="1:9" x14ac:dyDescent="0.35">
      <c r="A2911" s="2" t="str">
        <f>CLEAN("CLARK")</f>
        <v>CLARK</v>
      </c>
      <c r="B2911" s="2" t="str">
        <f>CLEAN("TOWN OF WORDEN")</f>
        <v>TOWN OF WORDEN</v>
      </c>
      <c r="C2911" s="2" t="s">
        <v>1214</v>
      </c>
      <c r="D2911" s="2" t="str">
        <f>CLEAN("7833-00-71")</f>
        <v>7833-00-71</v>
      </c>
      <c r="E2911" s="3" t="str">
        <f>CLEAN("T WORDEN  WORDEN ROAD")</f>
        <v>T WORDEN  WORDEN ROAD</v>
      </c>
      <c r="F2911" s="3" t="str">
        <f>CLEAN("WOLF RIVER BRIDGE B-10-0259")</f>
        <v>WOLF RIVER BRIDGE B-10-0259</v>
      </c>
      <c r="G2911" s="3" t="str">
        <f>CLEAN("CONSTRUCTION/BRIDGE REPLACEMENT")</f>
        <v>CONSTRUCTION/BRIDGE REPLACEMENT</v>
      </c>
      <c r="H2911" s="2" t="str">
        <f t="shared" si="448"/>
        <v>LOC STR</v>
      </c>
      <c r="I2911" s="2" t="str">
        <f t="shared" si="449"/>
        <v>205</v>
      </c>
    </row>
    <row r="2912" spans="1:9" x14ac:dyDescent="0.35">
      <c r="A2912" s="2" t="str">
        <f>CLEAN("CLARK")</f>
        <v>CLARK</v>
      </c>
      <c r="B2912" s="2" t="str">
        <f>CLEAN("TOWN OF YORK")</f>
        <v>TOWN OF YORK</v>
      </c>
      <c r="C2912" s="2" t="s">
        <v>1799</v>
      </c>
      <c r="D2912" s="2" t="str">
        <f>CLEAN("7850-00-01")</f>
        <v>7850-00-01</v>
      </c>
      <c r="E2912" s="3" t="str">
        <f>CLEAN("T YORK  ROMADKA AVE")</f>
        <v>T YORK  ROMADKA AVE</v>
      </c>
      <c r="F2912" s="3" t="str">
        <f>CLEAN("MIDDLE BR ONEILL CREEK BRDG P100185")</f>
        <v>MIDDLE BR ONEILL CREEK BRDG P100185</v>
      </c>
      <c r="G2912" s="3" t="str">
        <f>CLEAN("DESIGN/BRIDGE REPLACEMENT")</f>
        <v>DESIGN/BRIDGE REPLACEMENT</v>
      </c>
      <c r="H2912" s="2" t="str">
        <f t="shared" si="448"/>
        <v>LOC STR</v>
      </c>
      <c r="I2912" s="2" t="str">
        <f t="shared" si="449"/>
        <v>205</v>
      </c>
    </row>
    <row r="2913" spans="1:9" x14ac:dyDescent="0.35">
      <c r="A2913" s="2" t="str">
        <f>CLEAN("CLARK")</f>
        <v>CLARK</v>
      </c>
      <c r="B2913" s="2" t="str">
        <f>CLEAN("TOWN OF YORK")</f>
        <v>TOWN OF YORK</v>
      </c>
      <c r="C2913" s="2" t="s">
        <v>1191</v>
      </c>
      <c r="D2913" s="2" t="str">
        <f>CLEAN("7850-00-71")</f>
        <v>7850-00-71</v>
      </c>
      <c r="E2913" s="3" t="str">
        <f>CLEAN("T YORK  ROMADKA AVE")</f>
        <v>T YORK  ROMADKA AVE</v>
      </c>
      <c r="F2913" s="3" t="str">
        <f>CLEAN("MIDDLE BR ONEILL CREEK BRDG B100399")</f>
        <v>MIDDLE BR ONEILL CREEK BRDG B100399</v>
      </c>
      <c r="G2913" s="3" t="str">
        <f>CLEAN("CONSTRUCTION/BRIDGE REPLACEMENT")</f>
        <v>CONSTRUCTION/BRIDGE REPLACEMENT</v>
      </c>
      <c r="H2913" s="2" t="str">
        <f t="shared" si="448"/>
        <v>LOC STR</v>
      </c>
      <c r="I2913" s="2" t="str">
        <f t="shared" si="449"/>
        <v>205</v>
      </c>
    </row>
    <row r="2914" spans="1:9" x14ac:dyDescent="0.35">
      <c r="A2914" s="2" t="str">
        <f t="shared" ref="A2914:A2947" si="450">CLEAN("TREMPEALEAU")</f>
        <v>TREMPEALEAU</v>
      </c>
      <c r="B2914" s="2" t="str">
        <f t="shared" ref="B2914:B2947" si="451">CLEAN("TREMPEALEAU COUNTY")</f>
        <v>TREMPEALEAU COUNTY</v>
      </c>
      <c r="C2914" s="2" t="s">
        <v>1843</v>
      </c>
      <c r="D2914" s="2" t="str">
        <f>CLEAN("7146-00-02")</f>
        <v>7146-00-02</v>
      </c>
      <c r="E2914" s="3" t="str">
        <f>CLEAN("ETTRICK - WHITEHALL")</f>
        <v>ETTRICK - WHITEHALL</v>
      </c>
      <c r="F2914" s="3" t="str">
        <f>CLEAN("IRVIN CREEK BRIDGE P610712")</f>
        <v>IRVIN CREEK BRIDGE P610712</v>
      </c>
      <c r="G2914" s="3" t="str">
        <f>CLEAN("DESIGN/BRRPL")</f>
        <v>DESIGN/BRRPL</v>
      </c>
      <c r="H2914" s="2" t="str">
        <f t="shared" ref="H2914:H2922" si="452">CLEAN("CTH D")</f>
        <v>CTH D</v>
      </c>
      <c r="I2914" s="2" t="str">
        <f t="shared" si="449"/>
        <v>205</v>
      </c>
    </row>
    <row r="2915" spans="1:9" x14ac:dyDescent="0.35">
      <c r="A2915" s="2" t="str">
        <f t="shared" si="450"/>
        <v>TREMPEALEAU</v>
      </c>
      <c r="B2915" s="2" t="str">
        <f t="shared" si="451"/>
        <v>TREMPEALEAU COUNTY</v>
      </c>
      <c r="C2915" s="2" t="s">
        <v>2290</v>
      </c>
      <c r="D2915" s="2" t="str">
        <f>CLEAN("7146-00-04")</f>
        <v>7146-00-04</v>
      </c>
      <c r="E2915" s="3" t="str">
        <f>CLEAN("USH 53 - STH 95")</f>
        <v>USH 53 - STH 95</v>
      </c>
      <c r="F2915" s="3" t="str">
        <f>CLEAN("FRENCH CREEK BRIDGE P-61-0074")</f>
        <v>FRENCH CREEK BRIDGE P-61-0074</v>
      </c>
      <c r="G2915" s="3" t="str">
        <f>CLEAN("DESIGN-BRIDGE REPLACEMENT")</f>
        <v>DESIGN-BRIDGE REPLACEMENT</v>
      </c>
      <c r="H2915" s="2" t="str">
        <f t="shared" si="452"/>
        <v>CTH D</v>
      </c>
      <c r="I2915" s="2" t="str">
        <f t="shared" si="449"/>
        <v>205</v>
      </c>
    </row>
    <row r="2916" spans="1:9" x14ac:dyDescent="0.35">
      <c r="A2916" s="2" t="str">
        <f t="shared" si="450"/>
        <v>TREMPEALEAU</v>
      </c>
      <c r="B2916" s="2" t="str">
        <f t="shared" si="451"/>
        <v>TREMPEALEAU COUNTY</v>
      </c>
      <c r="C2916" s="2" t="s">
        <v>1642</v>
      </c>
      <c r="D2916" s="2" t="str">
        <f>CLEAN("7146-00-05")</f>
        <v>7146-00-05</v>
      </c>
      <c r="E2916" s="3" t="str">
        <f>CLEAN("ETTRICK - JACKSON COUNTY LINE")</f>
        <v>ETTRICK - JACKSON COUNTY LINE</v>
      </c>
      <c r="F2916" s="3" t="str">
        <f>CLEAN("SIMONSON LN TO JACKSON COUNTY LINE")</f>
        <v>SIMONSON LN TO JACKSON COUNTY LINE</v>
      </c>
      <c r="G2916" s="3" t="str">
        <f>CLEAN("DESIGN - FULL PS&amp;E/RECONDITION")</f>
        <v>DESIGN - FULL PS&amp;E/RECONDITION</v>
      </c>
      <c r="H2916" s="2" t="str">
        <f t="shared" si="452"/>
        <v>CTH D</v>
      </c>
      <c r="I2916" s="2" t="str">
        <f>CLEAN("206")</f>
        <v>206</v>
      </c>
    </row>
    <row r="2917" spans="1:9" x14ac:dyDescent="0.35">
      <c r="A2917" s="2" t="str">
        <f t="shared" si="450"/>
        <v>TREMPEALEAU</v>
      </c>
      <c r="B2917" s="2" t="str">
        <f t="shared" si="451"/>
        <v>TREMPEALEAU COUNTY</v>
      </c>
      <c r="C2917" s="2" t="s">
        <v>1587</v>
      </c>
      <c r="D2917" s="2" t="str">
        <f>CLEAN("7146-00-06")</f>
        <v>7146-00-06</v>
      </c>
      <c r="E2917" s="3" t="str">
        <f>CLEAN("WHITEHALL - STRUM")</f>
        <v>WHITEHALL - STRUM</v>
      </c>
      <c r="F2917" s="3" t="str">
        <f>CLEAN("ELK CREEK BRIDGE B-61-0038")</f>
        <v>ELK CREEK BRIDGE B-61-0038</v>
      </c>
      <c r="G2917" s="3" t="str">
        <f>CLEAN("DESIGN - FULL PS&amp;E/BRRPL")</f>
        <v>DESIGN - FULL PS&amp;E/BRRPL</v>
      </c>
      <c r="H2917" s="2" t="str">
        <f t="shared" si="452"/>
        <v>CTH D</v>
      </c>
      <c r="I2917" s="2" t="str">
        <f>CLEAN("205")</f>
        <v>205</v>
      </c>
    </row>
    <row r="2918" spans="1:9" x14ac:dyDescent="0.35">
      <c r="A2918" s="2" t="str">
        <f t="shared" si="450"/>
        <v>TREMPEALEAU</v>
      </c>
      <c r="B2918" s="2" t="str">
        <f t="shared" si="451"/>
        <v>TREMPEALEAU COUNTY</v>
      </c>
      <c r="C2918" s="2" t="s">
        <v>497</v>
      </c>
      <c r="D2918" s="2" t="str">
        <f>CLEAN("7146-00-70")</f>
        <v>7146-00-70</v>
      </c>
      <c r="E2918" s="3" t="str">
        <f>CLEAN("ETTRICK - STH 95")</f>
        <v>ETTRICK - STH 95</v>
      </c>
      <c r="F2918" s="3" t="str">
        <f>CLEAN("BIG FRENCH CREEK BRIDGE B610229")</f>
        <v>BIG FRENCH CREEK BRIDGE B610229</v>
      </c>
      <c r="G2918" s="3" t="str">
        <f>CLEAN("CONST/BRRPL")</f>
        <v>CONST/BRRPL</v>
      </c>
      <c r="H2918" s="2" t="str">
        <f t="shared" si="452"/>
        <v>CTH D</v>
      </c>
      <c r="I2918" s="2" t="str">
        <f>CLEAN("205")</f>
        <v>205</v>
      </c>
    </row>
    <row r="2919" spans="1:9" x14ac:dyDescent="0.35">
      <c r="A2919" s="2" t="str">
        <f t="shared" si="450"/>
        <v>TREMPEALEAU</v>
      </c>
      <c r="B2919" s="2" t="str">
        <f t="shared" si="451"/>
        <v>TREMPEALEAU COUNTY</v>
      </c>
      <c r="C2919" s="2" t="s">
        <v>1248</v>
      </c>
      <c r="D2919" s="2" t="str">
        <f>CLEAN("7146-00-72")</f>
        <v>7146-00-72</v>
      </c>
      <c r="E2919" s="3" t="str">
        <f>CLEAN("ETTRICK - WHITEHALL")</f>
        <v>ETTRICK - WHITEHALL</v>
      </c>
      <c r="F2919" s="3" t="str">
        <f>CLEAN("IRVIN CREEK BRIDGE B-61-0247")</f>
        <v>IRVIN CREEK BRIDGE B-61-0247</v>
      </c>
      <c r="G2919" s="3" t="str">
        <f>CLEAN("CONSTRUCTION/BRRPL")</f>
        <v>CONSTRUCTION/BRRPL</v>
      </c>
      <c r="H2919" s="2" t="str">
        <f t="shared" si="452"/>
        <v>CTH D</v>
      </c>
      <c r="I2919" s="2" t="str">
        <f>CLEAN("205")</f>
        <v>205</v>
      </c>
    </row>
    <row r="2920" spans="1:9" x14ac:dyDescent="0.35">
      <c r="A2920" s="2" t="str">
        <f t="shared" si="450"/>
        <v>TREMPEALEAU</v>
      </c>
      <c r="B2920" s="2" t="str">
        <f t="shared" si="451"/>
        <v>TREMPEALEAU COUNTY</v>
      </c>
      <c r="C2920" s="2" t="s">
        <v>1181</v>
      </c>
      <c r="D2920" s="2" t="str">
        <f>CLEAN("7146-00-74")</f>
        <v>7146-00-74</v>
      </c>
      <c r="E2920" s="3" t="str">
        <f>CLEAN("USH 53 - STH 95")</f>
        <v>USH 53 - STH 95</v>
      </c>
      <c r="F2920" s="3" t="str">
        <f>CLEAN("FRENCH CREEK BRIDGE B-61-0255")</f>
        <v>FRENCH CREEK BRIDGE B-61-0255</v>
      </c>
      <c r="G2920" s="3" t="str">
        <f>CLEAN("CONSTRUCTION/BRIDGE REPLACEMENT")</f>
        <v>CONSTRUCTION/BRIDGE REPLACEMENT</v>
      </c>
      <c r="H2920" s="2" t="str">
        <f t="shared" si="452"/>
        <v>CTH D</v>
      </c>
      <c r="I2920" s="2" t="str">
        <f>CLEAN("205")</f>
        <v>205</v>
      </c>
    </row>
    <row r="2921" spans="1:9" x14ac:dyDescent="0.35">
      <c r="A2921" s="2" t="str">
        <f t="shared" si="450"/>
        <v>TREMPEALEAU</v>
      </c>
      <c r="B2921" s="2" t="str">
        <f t="shared" si="451"/>
        <v>TREMPEALEAU COUNTY</v>
      </c>
      <c r="C2921" s="2" t="s">
        <v>1315</v>
      </c>
      <c r="D2921" s="2" t="str">
        <f>CLEAN("7146-00-75")</f>
        <v>7146-00-75</v>
      </c>
      <c r="E2921" s="3" t="str">
        <f>CLEAN("ETTRICK - JACKSON COUNTY LINE")</f>
        <v>ETTRICK - JACKSON COUNTY LINE</v>
      </c>
      <c r="F2921" s="3" t="str">
        <f>CLEAN("OSLEY LN TO JACKSON COUNTY LINE")</f>
        <v>OSLEY LN TO JACKSON COUNTY LINE</v>
      </c>
      <c r="G2921" s="3" t="str">
        <f>CLEAN("CONSTRUCTION/RECONDITION")</f>
        <v>CONSTRUCTION/RECONDITION</v>
      </c>
      <c r="H2921" s="2" t="str">
        <f t="shared" si="452"/>
        <v>CTH D</v>
      </c>
      <c r="I2921" s="2" t="str">
        <f>CLEAN("206")</f>
        <v>206</v>
      </c>
    </row>
    <row r="2922" spans="1:9" x14ac:dyDescent="0.35">
      <c r="A2922" s="2" t="str">
        <f t="shared" si="450"/>
        <v>TREMPEALEAU</v>
      </c>
      <c r="B2922" s="2" t="str">
        <f t="shared" si="451"/>
        <v>TREMPEALEAU COUNTY</v>
      </c>
      <c r="C2922" s="2" t="s">
        <v>1243</v>
      </c>
      <c r="D2922" s="2" t="str">
        <f>CLEAN("7146-00-76")</f>
        <v>7146-00-76</v>
      </c>
      <c r="E2922" s="3" t="str">
        <f>CLEAN("WHITEHALL - STRUM")</f>
        <v>WHITEHALL - STRUM</v>
      </c>
      <c r="F2922" s="3" t="str">
        <f>CLEAN("ELK CREEK BRIDGE B-61-0293")</f>
        <v>ELK CREEK BRIDGE B-61-0293</v>
      </c>
      <c r="G2922" s="3" t="str">
        <f>CLEAN("CONSTRUCTION/BRRPL")</f>
        <v>CONSTRUCTION/BRRPL</v>
      </c>
      <c r="H2922" s="2" t="str">
        <f t="shared" si="452"/>
        <v>CTH D</v>
      </c>
      <c r="I2922" s="2" t="str">
        <f t="shared" ref="I2922:I2947" si="453">CLEAN("205")</f>
        <v>205</v>
      </c>
    </row>
    <row r="2923" spans="1:9" x14ac:dyDescent="0.35">
      <c r="A2923" s="2" t="str">
        <f t="shared" si="450"/>
        <v>TREMPEALEAU</v>
      </c>
      <c r="B2923" s="2" t="str">
        <f t="shared" si="451"/>
        <v>TREMPEALEAU COUNTY</v>
      </c>
      <c r="C2923" s="2" t="s">
        <v>1273</v>
      </c>
      <c r="D2923" s="2" t="str">
        <f>CLEAN("7157-00-70")</f>
        <v>7157-00-70</v>
      </c>
      <c r="E2923" s="3" t="str">
        <f>CLEAN("STH 35 - STH 93")</f>
        <v>STH 35 - STH 93</v>
      </c>
      <c r="F2923" s="3" t="str">
        <f>CLEAN("TAMARACK CREEK BRIDGE B-61-0241")</f>
        <v>TAMARACK CREEK BRIDGE B-61-0241</v>
      </c>
      <c r="G2923" s="3" t="str">
        <f>CLEAN("CONSTRUCTION/BRRPL")</f>
        <v>CONSTRUCTION/BRRPL</v>
      </c>
      <c r="H2923" s="2" t="str">
        <f>CLEAN("CTH G")</f>
        <v>CTH G</v>
      </c>
      <c r="I2923" s="2" t="str">
        <f t="shared" si="453"/>
        <v>205</v>
      </c>
    </row>
    <row r="2924" spans="1:9" x14ac:dyDescent="0.35">
      <c r="A2924" s="2" t="str">
        <f t="shared" si="450"/>
        <v>TREMPEALEAU</v>
      </c>
      <c r="B2924" s="2" t="str">
        <f t="shared" si="451"/>
        <v>TREMPEALEAU COUNTY</v>
      </c>
      <c r="C2924" s="2" t="s">
        <v>1233</v>
      </c>
      <c r="D2924" s="2" t="str">
        <f>CLEAN("7176-00-70")</f>
        <v>7176-00-70</v>
      </c>
      <c r="E2924" s="3" t="str">
        <f>CLEAN("CTH E - STRUM")</f>
        <v>CTH E - STRUM</v>
      </c>
      <c r="F2924" s="3" t="str">
        <f>CLEAN("BR N BR ELK CREEK BRIDGE B-61-0240")</f>
        <v>BR N BR ELK CREEK BRIDGE B-61-0240</v>
      </c>
      <c r="G2924" s="3" t="str">
        <f>CLEAN("CONSTRUCTION/BRRPL")</f>
        <v>CONSTRUCTION/BRRPL</v>
      </c>
      <c r="H2924" s="2" t="str">
        <f>CLEAN("CTH OO")</f>
        <v>CTH OO</v>
      </c>
      <c r="I2924" s="2" t="str">
        <f t="shared" si="453"/>
        <v>205</v>
      </c>
    </row>
    <row r="2925" spans="1:9" x14ac:dyDescent="0.35">
      <c r="A2925" s="2" t="str">
        <f t="shared" si="450"/>
        <v>TREMPEALEAU</v>
      </c>
      <c r="B2925" s="2" t="str">
        <f t="shared" si="451"/>
        <v>TREMPEALEAU COUNTY</v>
      </c>
      <c r="C2925" s="2" t="s">
        <v>496</v>
      </c>
      <c r="D2925" s="2" t="str">
        <f>CLEAN("7275-00-70")</f>
        <v>7275-00-70</v>
      </c>
      <c r="E2925" s="3" t="str">
        <f>CLEAN("ELEVA - NCL")</f>
        <v>ELEVA - NCL</v>
      </c>
      <c r="F2925" s="3" t="str">
        <f>CLEAN("BIG CREEK BRIDGE B610231")</f>
        <v>BIG CREEK BRIDGE B610231</v>
      </c>
      <c r="G2925" s="3" t="str">
        <f>CLEAN("CONST/BRRPL")</f>
        <v>CONST/BRRPL</v>
      </c>
      <c r="H2925" s="2" t="str">
        <f>CLEAN("CTH I")</f>
        <v>CTH I</v>
      </c>
      <c r="I2925" s="2" t="str">
        <f t="shared" si="453"/>
        <v>205</v>
      </c>
    </row>
    <row r="2926" spans="1:9" x14ac:dyDescent="0.35">
      <c r="A2926" s="2" t="str">
        <f t="shared" si="450"/>
        <v>TREMPEALEAU</v>
      </c>
      <c r="B2926" s="2" t="str">
        <f t="shared" si="451"/>
        <v>TREMPEALEAU COUNTY</v>
      </c>
      <c r="C2926" s="2" t="s">
        <v>1849</v>
      </c>
      <c r="D2926" s="2" t="str">
        <f>CLEAN("7276-00-03")</f>
        <v>7276-00-03</v>
      </c>
      <c r="E2926" s="3" t="str">
        <f>CLEAN("T ARCADIA  PYKA ROAD")</f>
        <v>T ARCADIA  PYKA ROAD</v>
      </c>
      <c r="F2926" s="3" t="str">
        <f>CLEAN("NORTH CREEK BRIDGE P610940")</f>
        <v>NORTH CREEK BRIDGE P610940</v>
      </c>
      <c r="G2926" s="3" t="str">
        <f>CLEAN("DESIGN/BRRPL")</f>
        <v>DESIGN/BRRPL</v>
      </c>
      <c r="H2926" s="2" t="str">
        <f t="shared" ref="H2926:H2947" si="454">CLEAN("LOC STR")</f>
        <v>LOC STR</v>
      </c>
      <c r="I2926" s="2" t="str">
        <f t="shared" si="453"/>
        <v>205</v>
      </c>
    </row>
    <row r="2927" spans="1:9" x14ac:dyDescent="0.35">
      <c r="A2927" s="2" t="str">
        <f t="shared" si="450"/>
        <v>TREMPEALEAU</v>
      </c>
      <c r="B2927" s="2" t="str">
        <f t="shared" si="451"/>
        <v>TREMPEALEAU COUNTY</v>
      </c>
      <c r="C2927" s="2" t="s">
        <v>1850</v>
      </c>
      <c r="D2927" s="2" t="str">
        <f>CLEAN("7276-00-04")</f>
        <v>7276-00-04</v>
      </c>
      <c r="E2927" s="3" t="str">
        <f>CLEAN("T ARCADIA  RAINEY VALLEY ROAD")</f>
        <v>T ARCADIA  RAINEY VALLEY ROAD</v>
      </c>
      <c r="F2927" s="3" t="str">
        <f>CLEAN("RAINEY VALLEY CREEK BRIDGE P610165")</f>
        <v>RAINEY VALLEY CREEK BRIDGE P610165</v>
      </c>
      <c r="G2927" s="3" t="str">
        <f>CLEAN("DESIGN/BRRPL")</f>
        <v>DESIGN/BRRPL</v>
      </c>
      <c r="H2927" s="2" t="str">
        <f t="shared" si="454"/>
        <v>LOC STR</v>
      </c>
      <c r="I2927" s="2" t="str">
        <f t="shared" si="453"/>
        <v>205</v>
      </c>
    </row>
    <row r="2928" spans="1:9" x14ac:dyDescent="0.35">
      <c r="A2928" s="2" t="str">
        <f t="shared" si="450"/>
        <v>TREMPEALEAU</v>
      </c>
      <c r="B2928" s="2" t="str">
        <f t="shared" si="451"/>
        <v>TREMPEALEAU COUNTY</v>
      </c>
      <c r="C2928" s="2" t="s">
        <v>1474</v>
      </c>
      <c r="D2928" s="2" t="str">
        <f>CLEAN("7276-00-05")</f>
        <v>7276-00-05</v>
      </c>
      <c r="E2928" s="3" t="str">
        <f>CLEAN("T ARCADIA  CYRIL SOBOTTA LANE")</f>
        <v>T ARCADIA  CYRIL SOBOTTA LANE</v>
      </c>
      <c r="F2928" s="3" t="str">
        <f>CLEAN("NEWCOMB VALLEY CREEK BR P-61-0908")</f>
        <v>NEWCOMB VALLEY CREEK BR P-61-0908</v>
      </c>
      <c r="G2928" s="3" t="str">
        <f>CLEAN("DESIGN - FULL PS&amp;E BRRPL")</f>
        <v>DESIGN - FULL PS&amp;E BRRPL</v>
      </c>
      <c r="H2928" s="2" t="str">
        <f t="shared" si="454"/>
        <v>LOC STR</v>
      </c>
      <c r="I2928" s="2" t="str">
        <f t="shared" si="453"/>
        <v>205</v>
      </c>
    </row>
    <row r="2929" spans="1:9" x14ac:dyDescent="0.35">
      <c r="A2929" s="2" t="str">
        <f t="shared" si="450"/>
        <v>TREMPEALEAU</v>
      </c>
      <c r="B2929" s="2" t="str">
        <f t="shared" si="451"/>
        <v>TREMPEALEAU COUNTY</v>
      </c>
      <c r="C2929" s="2" t="s">
        <v>1601</v>
      </c>
      <c r="D2929" s="2" t="str">
        <f>CLEAN("7276-00-06")</f>
        <v>7276-00-06</v>
      </c>
      <c r="E2929" s="3" t="str">
        <f>CLEAN("T ARCADIA  MIDDLE ROAD")</f>
        <v>T ARCADIA  MIDDLE ROAD</v>
      </c>
      <c r="F2929" s="3" t="str">
        <f>CLEAN("MYERS VALLEY CREEK BRIDGE P-61-0195")</f>
        <v>MYERS VALLEY CREEK BRIDGE P-61-0195</v>
      </c>
      <c r="G2929" s="3" t="str">
        <f>CLEAN("DESIGN - FULL PS&amp;E/BRRPL")</f>
        <v>DESIGN - FULL PS&amp;E/BRRPL</v>
      </c>
      <c r="H2929" s="2" t="str">
        <f t="shared" si="454"/>
        <v>LOC STR</v>
      </c>
      <c r="I2929" s="2" t="str">
        <f t="shared" si="453"/>
        <v>205</v>
      </c>
    </row>
    <row r="2930" spans="1:9" x14ac:dyDescent="0.35">
      <c r="A2930" s="2" t="str">
        <f t="shared" si="450"/>
        <v>TREMPEALEAU</v>
      </c>
      <c r="B2930" s="2" t="str">
        <f t="shared" si="451"/>
        <v>TREMPEALEAU COUNTY</v>
      </c>
      <c r="C2930" s="2" t="s">
        <v>1263</v>
      </c>
      <c r="D2930" s="2" t="str">
        <f>CLEAN("7276-00-73")</f>
        <v>7276-00-73</v>
      </c>
      <c r="E2930" s="3" t="str">
        <f>CLEAN("T ARCADIA  PYKA ROAD")</f>
        <v>T ARCADIA  PYKA ROAD</v>
      </c>
      <c r="F2930" s="3" t="str">
        <f>CLEAN("NORTH CREEK BRIDGE B-61-0242")</f>
        <v>NORTH CREEK BRIDGE B-61-0242</v>
      </c>
      <c r="G2930" s="3" t="str">
        <f>CLEAN("CONSTRUCTION/BRRPL")</f>
        <v>CONSTRUCTION/BRRPL</v>
      </c>
      <c r="H2930" s="2" t="str">
        <f t="shared" si="454"/>
        <v>LOC STR</v>
      </c>
      <c r="I2930" s="2" t="str">
        <f t="shared" si="453"/>
        <v>205</v>
      </c>
    </row>
    <row r="2931" spans="1:9" x14ac:dyDescent="0.35">
      <c r="A2931" s="2" t="str">
        <f t="shared" si="450"/>
        <v>TREMPEALEAU</v>
      </c>
      <c r="B2931" s="2" t="str">
        <f t="shared" si="451"/>
        <v>TREMPEALEAU COUNTY</v>
      </c>
      <c r="C2931" s="2" t="s">
        <v>1266</v>
      </c>
      <c r="D2931" s="2" t="str">
        <f>CLEAN("7276-00-74")</f>
        <v>7276-00-74</v>
      </c>
      <c r="E2931" s="3" t="str">
        <f>CLEAN("T ARCADIA  RAINEY VALLEY ROAD")</f>
        <v>T ARCADIA  RAINEY VALLEY ROAD</v>
      </c>
      <c r="F2931" s="3" t="str">
        <f>CLEAN("RAINEY VALLEY CRK BR B-61-0244")</f>
        <v>RAINEY VALLEY CRK BR B-61-0244</v>
      </c>
      <c r="G2931" s="3" t="str">
        <f>CLEAN("CONSTRUCTION/BRRPL")</f>
        <v>CONSTRUCTION/BRRPL</v>
      </c>
      <c r="H2931" s="2" t="str">
        <f t="shared" si="454"/>
        <v>LOC STR</v>
      </c>
      <c r="I2931" s="2" t="str">
        <f t="shared" si="453"/>
        <v>205</v>
      </c>
    </row>
    <row r="2932" spans="1:9" x14ac:dyDescent="0.35">
      <c r="A2932" s="2" t="str">
        <f t="shared" si="450"/>
        <v>TREMPEALEAU</v>
      </c>
      <c r="B2932" s="2" t="str">
        <f t="shared" si="451"/>
        <v>TREMPEALEAU COUNTY</v>
      </c>
      <c r="C2932" s="2" t="s">
        <v>1254</v>
      </c>
      <c r="D2932" s="2" t="str">
        <f>CLEAN("7276-00-76")</f>
        <v>7276-00-76</v>
      </c>
      <c r="E2932" s="3" t="str">
        <f>CLEAN("T ARCADIA  MIDDLE ROAD")</f>
        <v>T ARCADIA  MIDDLE ROAD</v>
      </c>
      <c r="F2932" s="3" t="str">
        <f>CLEAN("MYERS VALLEY CREEK BRIDGE B-61-0294")</f>
        <v>MYERS VALLEY CREEK BRIDGE B-61-0294</v>
      </c>
      <c r="G2932" s="3" t="str">
        <f>CLEAN("CONSTRUCTION/BRRPL")</f>
        <v>CONSTRUCTION/BRRPL</v>
      </c>
      <c r="H2932" s="2" t="str">
        <f t="shared" si="454"/>
        <v>LOC STR</v>
      </c>
      <c r="I2932" s="2" t="str">
        <f t="shared" si="453"/>
        <v>205</v>
      </c>
    </row>
    <row r="2933" spans="1:9" x14ac:dyDescent="0.35">
      <c r="A2933" s="2" t="str">
        <f t="shared" si="450"/>
        <v>TREMPEALEAU</v>
      </c>
      <c r="B2933" s="2" t="str">
        <f t="shared" si="451"/>
        <v>TREMPEALEAU COUNTY</v>
      </c>
      <c r="C2933" s="2" t="s">
        <v>1467</v>
      </c>
      <c r="D2933" s="2" t="str">
        <f>CLEAN("7277-00-01")</f>
        <v>7277-00-01</v>
      </c>
      <c r="E2933" s="3" t="str">
        <f>CLEAN("T BURNSIDE  FILLA VALLEY ROAD")</f>
        <v>T BURNSIDE  FILLA VALLEY ROAD</v>
      </c>
      <c r="F2933" s="3" t="str">
        <f>CLEAN("LYGA VALLEY CREEK BRIDGE P-61-0155")</f>
        <v>LYGA VALLEY CREEK BRIDGE P-61-0155</v>
      </c>
      <c r="G2933" s="3" t="str">
        <f>CLEAN("DESIGN - FULL PS&amp;E BRRPL")</f>
        <v>DESIGN - FULL PS&amp;E BRRPL</v>
      </c>
      <c r="H2933" s="2" t="str">
        <f t="shared" si="454"/>
        <v>LOC STR</v>
      </c>
      <c r="I2933" s="2" t="str">
        <f t="shared" si="453"/>
        <v>205</v>
      </c>
    </row>
    <row r="2934" spans="1:9" x14ac:dyDescent="0.35">
      <c r="A2934" s="2" t="str">
        <f t="shared" si="450"/>
        <v>TREMPEALEAU</v>
      </c>
      <c r="B2934" s="2" t="str">
        <f t="shared" si="451"/>
        <v>TREMPEALEAU COUNTY</v>
      </c>
      <c r="C2934" s="2" t="s">
        <v>1483</v>
      </c>
      <c r="D2934" s="2" t="str">
        <f>CLEAN("7277-00-02")</f>
        <v>7277-00-02</v>
      </c>
      <c r="E2934" s="3" t="str">
        <f>CLEAN("T BURNSIDE  WOLFE ROAD")</f>
        <v>T BURNSIDE  WOLFE ROAD</v>
      </c>
      <c r="F2934" s="3" t="str">
        <f>CLEAN("TRAVERSE VALLEY CREEK BR P-61-0939")</f>
        <v>TRAVERSE VALLEY CREEK BR P-61-0939</v>
      </c>
      <c r="G2934" s="3" t="str">
        <f>CLEAN("DESIGN - FULL PS&amp;E BRRPL")</f>
        <v>DESIGN - FULL PS&amp;E BRRPL</v>
      </c>
      <c r="H2934" s="2" t="str">
        <f t="shared" si="454"/>
        <v>LOC STR</v>
      </c>
      <c r="I2934" s="2" t="str">
        <f t="shared" si="453"/>
        <v>205</v>
      </c>
    </row>
    <row r="2935" spans="1:9" x14ac:dyDescent="0.35">
      <c r="A2935" s="2" t="str">
        <f t="shared" si="450"/>
        <v>TREMPEALEAU</v>
      </c>
      <c r="B2935" s="2" t="str">
        <f t="shared" si="451"/>
        <v>TREMPEALEAU COUNTY</v>
      </c>
      <c r="C2935" s="2" t="s">
        <v>1188</v>
      </c>
      <c r="D2935" s="2" t="str">
        <f>CLEAN("7277-00-71")</f>
        <v>7277-00-71</v>
      </c>
      <c r="E2935" s="3" t="str">
        <f>CLEAN("T BURNSIDE  FILLA VALLEY ROAD")</f>
        <v>T BURNSIDE  FILLA VALLEY ROAD</v>
      </c>
      <c r="F2935" s="3" t="str">
        <f>CLEAN("LYGA VALLEY CREEK BRIDGE B-61-0254")</f>
        <v>LYGA VALLEY CREEK BRIDGE B-61-0254</v>
      </c>
      <c r="G2935" s="3" t="str">
        <f>CLEAN("CONSTRUCTION/BRIDGE REPLACEMENT")</f>
        <v>CONSTRUCTION/BRIDGE REPLACEMENT</v>
      </c>
      <c r="H2935" s="2" t="str">
        <f t="shared" si="454"/>
        <v>LOC STR</v>
      </c>
      <c r="I2935" s="2" t="str">
        <f t="shared" si="453"/>
        <v>205</v>
      </c>
    </row>
    <row r="2936" spans="1:9" x14ac:dyDescent="0.35">
      <c r="A2936" s="2" t="str">
        <f t="shared" si="450"/>
        <v>TREMPEALEAU</v>
      </c>
      <c r="B2936" s="2" t="str">
        <f t="shared" si="451"/>
        <v>TREMPEALEAU COUNTY</v>
      </c>
      <c r="C2936" s="2" t="s">
        <v>1847</v>
      </c>
      <c r="D2936" s="2" t="str">
        <f>CLEAN("7281-00-03")</f>
        <v>7281-00-03</v>
      </c>
      <c r="E2936" s="3" t="str">
        <f>CLEAN("T ETTRICK  JOE COULEE ROAD")</f>
        <v>T ETTRICK  JOE COULEE ROAD</v>
      </c>
      <c r="F2936" s="3" t="str">
        <f>CLEAN("NF BEAVER CREEK BRIDGE P610185")</f>
        <v>NF BEAVER CREEK BRIDGE P610185</v>
      </c>
      <c r="G2936" s="3" t="str">
        <f>CLEAN("DESIGN/BRRPL")</f>
        <v>DESIGN/BRRPL</v>
      </c>
      <c r="H2936" s="2" t="str">
        <f t="shared" si="454"/>
        <v>LOC STR</v>
      </c>
      <c r="I2936" s="2" t="str">
        <f t="shared" si="453"/>
        <v>205</v>
      </c>
    </row>
    <row r="2937" spans="1:9" x14ac:dyDescent="0.35">
      <c r="A2937" s="2" t="str">
        <f t="shared" si="450"/>
        <v>TREMPEALEAU</v>
      </c>
      <c r="B2937" s="2" t="str">
        <f t="shared" si="451"/>
        <v>TREMPEALEAU COUNTY</v>
      </c>
      <c r="C2937" s="2" t="s">
        <v>1848</v>
      </c>
      <c r="D2937" s="2" t="str">
        <f>CLEAN("7281-00-04")</f>
        <v>7281-00-04</v>
      </c>
      <c r="E2937" s="3" t="str">
        <f>CLEAN("T ETTRICK  HAGESTAD ROAD")</f>
        <v>T ETTRICK  HAGESTAD ROAD</v>
      </c>
      <c r="F2937" s="3" t="str">
        <f>CLEAN("NF BEAVER CREEK BRIDGE P610189")</f>
        <v>NF BEAVER CREEK BRIDGE P610189</v>
      </c>
      <c r="G2937" s="3" t="str">
        <f>CLEAN("DESIGN/BRRPL")</f>
        <v>DESIGN/BRRPL</v>
      </c>
      <c r="H2937" s="2" t="str">
        <f t="shared" si="454"/>
        <v>LOC STR</v>
      </c>
      <c r="I2937" s="2" t="str">
        <f t="shared" si="453"/>
        <v>205</v>
      </c>
    </row>
    <row r="2938" spans="1:9" x14ac:dyDescent="0.35">
      <c r="A2938" s="2" t="str">
        <f t="shared" si="450"/>
        <v>TREMPEALEAU</v>
      </c>
      <c r="B2938" s="2" t="str">
        <f t="shared" si="451"/>
        <v>TREMPEALEAU COUNTY</v>
      </c>
      <c r="C2938" s="2" t="s">
        <v>1407</v>
      </c>
      <c r="D2938" s="2" t="str">
        <f>CLEAN("7281-00-05")</f>
        <v>7281-00-05</v>
      </c>
      <c r="E2938" s="3" t="str">
        <f>CLEAN("T ETTRICK  LIEN LANE")</f>
        <v>T ETTRICK  LIEN LANE</v>
      </c>
      <c r="F2938" s="3" t="str">
        <f>CLEAN("N FORK BEAVER CREEK BR P-61-0186")</f>
        <v>N FORK BEAVER CREEK BR P-61-0186</v>
      </c>
      <c r="G2938" s="3" t="str">
        <f>CLEAN("DESIGN - BRIDGE REPLACEMENT")</f>
        <v>DESIGN - BRIDGE REPLACEMENT</v>
      </c>
      <c r="H2938" s="2" t="str">
        <f t="shared" si="454"/>
        <v>LOC STR</v>
      </c>
      <c r="I2938" s="2" t="str">
        <f t="shared" si="453"/>
        <v>205</v>
      </c>
    </row>
    <row r="2939" spans="1:9" x14ac:dyDescent="0.35">
      <c r="A2939" s="2" t="str">
        <f t="shared" si="450"/>
        <v>TREMPEALEAU</v>
      </c>
      <c r="B2939" s="2" t="str">
        <f t="shared" si="451"/>
        <v>TREMPEALEAU COUNTY</v>
      </c>
      <c r="C2939" s="2" t="s">
        <v>1608</v>
      </c>
      <c r="D2939" s="2" t="str">
        <f>CLEAN("7281-00-06")</f>
        <v>7281-00-06</v>
      </c>
      <c r="E2939" s="3" t="str">
        <f>CLEAN("T ETTRICK  WHALEN ROAD")</f>
        <v>T ETTRICK  WHALEN ROAD</v>
      </c>
      <c r="F2939" s="3" t="str">
        <f>CLEAN("S FK BEAVER CREEK BRIDGE P-61-0218")</f>
        <v>S FK BEAVER CREEK BRIDGE P-61-0218</v>
      </c>
      <c r="G2939" s="3" t="str">
        <f>CLEAN("DESIGN - FULL PS&amp;E/BRRPL")</f>
        <v>DESIGN - FULL PS&amp;E/BRRPL</v>
      </c>
      <c r="H2939" s="2" t="str">
        <f t="shared" si="454"/>
        <v>LOC STR</v>
      </c>
      <c r="I2939" s="2" t="str">
        <f t="shared" si="453"/>
        <v>205</v>
      </c>
    </row>
    <row r="2940" spans="1:9" x14ac:dyDescent="0.35">
      <c r="A2940" s="2" t="str">
        <f t="shared" si="450"/>
        <v>TREMPEALEAU</v>
      </c>
      <c r="B2940" s="2" t="str">
        <f t="shared" si="451"/>
        <v>TREMPEALEAU COUNTY</v>
      </c>
      <c r="C2940" s="2" t="s">
        <v>1260</v>
      </c>
      <c r="D2940" s="2" t="str">
        <f>CLEAN("7281-00-73")</f>
        <v>7281-00-73</v>
      </c>
      <c r="E2940" s="3" t="str">
        <f>CLEAN("T ETTRICK  JOE COULEE ROAD")</f>
        <v>T ETTRICK  JOE COULEE ROAD</v>
      </c>
      <c r="F2940" s="3" t="str">
        <f>CLEAN("NF BEAVER CREEK BRIDGE B-61-0245")</f>
        <v>NF BEAVER CREEK BRIDGE B-61-0245</v>
      </c>
      <c r="G2940" s="3" t="str">
        <f>CLEAN("CONSTRUCTION/BRRPL")</f>
        <v>CONSTRUCTION/BRRPL</v>
      </c>
      <c r="H2940" s="2" t="str">
        <f t="shared" si="454"/>
        <v>LOC STR</v>
      </c>
      <c r="I2940" s="2" t="str">
        <f t="shared" si="453"/>
        <v>205</v>
      </c>
    </row>
    <row r="2941" spans="1:9" x14ac:dyDescent="0.35">
      <c r="A2941" s="2" t="str">
        <f t="shared" si="450"/>
        <v>TREMPEALEAU</v>
      </c>
      <c r="B2941" s="2" t="str">
        <f t="shared" si="451"/>
        <v>TREMPEALEAU COUNTY</v>
      </c>
      <c r="C2941" s="2" t="s">
        <v>1261</v>
      </c>
      <c r="D2941" s="2" t="str">
        <f>CLEAN("7281-00-74")</f>
        <v>7281-00-74</v>
      </c>
      <c r="E2941" s="3" t="str">
        <f>CLEAN("T ETTRICK  HAGESTAD ROAD")</f>
        <v>T ETTRICK  HAGESTAD ROAD</v>
      </c>
      <c r="F2941" s="3" t="str">
        <f>CLEAN("NF BEAVER CREEK BRIDGE B-61-0246")</f>
        <v>NF BEAVER CREEK BRIDGE B-61-0246</v>
      </c>
      <c r="G2941" s="3" t="str">
        <f>CLEAN("CONSTRUCTION/BRRPL")</f>
        <v>CONSTRUCTION/BRRPL</v>
      </c>
      <c r="H2941" s="2" t="str">
        <f t="shared" si="454"/>
        <v>LOC STR</v>
      </c>
      <c r="I2941" s="2" t="str">
        <f t="shared" si="453"/>
        <v>205</v>
      </c>
    </row>
    <row r="2942" spans="1:9" x14ac:dyDescent="0.35">
      <c r="A2942" s="2" t="str">
        <f t="shared" si="450"/>
        <v>TREMPEALEAU</v>
      </c>
      <c r="B2942" s="2" t="str">
        <f t="shared" si="451"/>
        <v>TREMPEALEAU COUNTY</v>
      </c>
      <c r="C2942" s="2" t="s">
        <v>1194</v>
      </c>
      <c r="D2942" s="2" t="str">
        <f>CLEAN("7281-00-75")</f>
        <v>7281-00-75</v>
      </c>
      <c r="E2942" s="3" t="str">
        <f>CLEAN("T ETTRICK  LIEN LANE")</f>
        <v>T ETTRICK  LIEN LANE</v>
      </c>
      <c r="F2942" s="3" t="str">
        <f>CLEAN("N FORK BEAVER CREEK BR B-61-0253")</f>
        <v>N FORK BEAVER CREEK BR B-61-0253</v>
      </c>
      <c r="G2942" s="3" t="str">
        <f>CLEAN("CONSTRUCTION/BRIDGE REPLACEMENT")</f>
        <v>CONSTRUCTION/BRIDGE REPLACEMENT</v>
      </c>
      <c r="H2942" s="2" t="str">
        <f t="shared" si="454"/>
        <v>LOC STR</v>
      </c>
      <c r="I2942" s="2" t="str">
        <f t="shared" si="453"/>
        <v>205</v>
      </c>
    </row>
    <row r="2943" spans="1:9" x14ac:dyDescent="0.35">
      <c r="A2943" s="2" t="str">
        <f t="shared" si="450"/>
        <v>TREMPEALEAU</v>
      </c>
      <c r="B2943" s="2" t="str">
        <f t="shared" si="451"/>
        <v>TREMPEALEAU COUNTY</v>
      </c>
      <c r="C2943" s="2" t="s">
        <v>1588</v>
      </c>
      <c r="D2943" s="2" t="str">
        <f>CLEAN("7282-00-02")</f>
        <v>7282-00-02</v>
      </c>
      <c r="E2943" s="3" t="str">
        <f>CLEAN("T GALE  SMIKRUD ROAD")</f>
        <v>T GALE  SMIKRUD ROAD</v>
      </c>
      <c r="F2943" s="3" t="str">
        <f>CLEAN("GRANT CREEK BRIDGE P-61-0923")</f>
        <v>GRANT CREEK BRIDGE P-61-0923</v>
      </c>
      <c r="G2943" s="3" t="str">
        <f>CLEAN("DESIGN - FULL PS&amp;E/BRRPL")</f>
        <v>DESIGN - FULL PS&amp;E/BRRPL</v>
      </c>
      <c r="H2943" s="2" t="str">
        <f t="shared" si="454"/>
        <v>LOC STR</v>
      </c>
      <c r="I2943" s="2" t="str">
        <f t="shared" si="453"/>
        <v>205</v>
      </c>
    </row>
    <row r="2944" spans="1:9" x14ac:dyDescent="0.35">
      <c r="A2944" s="2" t="str">
        <f t="shared" si="450"/>
        <v>TREMPEALEAU</v>
      </c>
      <c r="B2944" s="2" t="str">
        <f t="shared" si="451"/>
        <v>TREMPEALEAU COUNTY</v>
      </c>
      <c r="C2944" s="2" t="s">
        <v>1246</v>
      </c>
      <c r="D2944" s="2" t="str">
        <f>CLEAN("7282-00-72")</f>
        <v>7282-00-72</v>
      </c>
      <c r="E2944" s="3" t="str">
        <f>CLEAN("T GALE  SMIKRUD ROAD")</f>
        <v>T GALE  SMIKRUD ROAD</v>
      </c>
      <c r="F2944" s="3" t="str">
        <f>CLEAN("GRANT CREEK BRIDGE B-61-0296")</f>
        <v>GRANT CREEK BRIDGE B-61-0296</v>
      </c>
      <c r="G2944" s="3" t="str">
        <f>CLEAN("CONSTRUCTION/BRRPL")</f>
        <v>CONSTRUCTION/BRRPL</v>
      </c>
      <c r="H2944" s="2" t="str">
        <f t="shared" si="454"/>
        <v>LOC STR</v>
      </c>
      <c r="I2944" s="2" t="str">
        <f t="shared" si="453"/>
        <v>205</v>
      </c>
    </row>
    <row r="2945" spans="1:9" x14ac:dyDescent="0.35">
      <c r="A2945" s="2" t="str">
        <f t="shared" si="450"/>
        <v>TREMPEALEAU</v>
      </c>
      <c r="B2945" s="2" t="str">
        <f t="shared" si="451"/>
        <v>TREMPEALEAU COUNTY</v>
      </c>
      <c r="C2945" s="2" t="s">
        <v>1845</v>
      </c>
      <c r="D2945" s="2" t="str">
        <f>CLEAN("7283-00-00")</f>
        <v>7283-00-00</v>
      </c>
      <c r="E2945" s="3" t="str">
        <f>CLEAN("T HALE  KOWAHL ROAD")</f>
        <v>T HALE  KOWAHL ROAD</v>
      </c>
      <c r="F2945" s="3" t="str">
        <f>CLEAN("N BR ELK CREEK BRIDGE P610134")</f>
        <v>N BR ELK CREEK BRIDGE P610134</v>
      </c>
      <c r="G2945" s="3" t="str">
        <f>CLEAN("DESIGN/BRRPL")</f>
        <v>DESIGN/BRRPL</v>
      </c>
      <c r="H2945" s="2" t="str">
        <f t="shared" si="454"/>
        <v>LOC STR</v>
      </c>
      <c r="I2945" s="2" t="str">
        <f t="shared" si="453"/>
        <v>205</v>
      </c>
    </row>
    <row r="2946" spans="1:9" x14ac:dyDescent="0.35">
      <c r="A2946" s="2" t="str">
        <f t="shared" si="450"/>
        <v>TREMPEALEAU</v>
      </c>
      <c r="B2946" s="2" t="str">
        <f t="shared" si="451"/>
        <v>TREMPEALEAU COUNTY</v>
      </c>
      <c r="C2946" s="2" t="s">
        <v>516</v>
      </c>
      <c r="D2946" s="2" t="str">
        <f>CLEAN("7284-00-71")</f>
        <v>7284-00-71</v>
      </c>
      <c r="E2946" s="3" t="str">
        <f>CLEAN("T LINCOLN  CREEK ROAD")</f>
        <v>T LINCOLN  CREEK ROAD</v>
      </c>
      <c r="F2946" s="3" t="str">
        <f>CLEAN("PLUM CREEK BRIDGE B610233")</f>
        <v>PLUM CREEK BRIDGE B610233</v>
      </c>
      <c r="G2946" s="3" t="str">
        <f>CLEAN("CONST/BRRPL")</f>
        <v>CONST/BRRPL</v>
      </c>
      <c r="H2946" s="2" t="str">
        <f t="shared" si="454"/>
        <v>LOC STR</v>
      </c>
      <c r="I2946" s="2" t="str">
        <f t="shared" si="453"/>
        <v>205</v>
      </c>
    </row>
    <row r="2947" spans="1:9" x14ac:dyDescent="0.35">
      <c r="A2947" s="2" t="str">
        <f t="shared" si="450"/>
        <v>TREMPEALEAU</v>
      </c>
      <c r="B2947" s="2" t="str">
        <f t="shared" si="451"/>
        <v>TREMPEALEAU COUNTY</v>
      </c>
      <c r="C2947" s="2" t="s">
        <v>1271</v>
      </c>
      <c r="D2947" s="2" t="str">
        <f>CLEAN("7286-00-70")</f>
        <v>7286-00-70</v>
      </c>
      <c r="E2947" s="3" t="str">
        <f>CLEAN("T PRESTON  BRADLEY ROAD")</f>
        <v>T PRESTON  BRADLEY ROAD</v>
      </c>
      <c r="F2947" s="3" t="str">
        <f>CLEAN("SALVA COULEE CREEK BRIDGE B-61-0248")</f>
        <v>SALVA COULEE CREEK BRIDGE B-61-0248</v>
      </c>
      <c r="G2947" s="3" t="str">
        <f>CLEAN("CONSTRUCTION/BRRPL")</f>
        <v>CONSTRUCTION/BRRPL</v>
      </c>
      <c r="H2947" s="2" t="str">
        <f t="shared" si="454"/>
        <v>LOC STR</v>
      </c>
      <c r="I2947" s="2" t="str">
        <f t="shared" si="453"/>
        <v>205</v>
      </c>
    </row>
    <row r="2948" spans="1:9" x14ac:dyDescent="0.35">
      <c r="A2948" s="2" t="str">
        <f>CLEAN("DOUGLAS")</f>
        <v>DOUGLAS</v>
      </c>
      <c r="B2948" s="2" t="str">
        <f>CLEAN("TROUT UNLIMITED INC")</f>
        <v>TROUT UNLIMITED INC</v>
      </c>
      <c r="C2948" s="2" t="s">
        <v>1156</v>
      </c>
      <c r="D2948" s="2" t="str">
        <f>CLEAN("8150-00-72")</f>
        <v>8150-00-72</v>
      </c>
      <c r="E2948" s="3" t="str">
        <f>CLEAN("HAYWARD - BRULE")</f>
        <v>HAYWARD - BRULE</v>
      </c>
      <c r="F2948" s="3" t="str">
        <f>CLEAN("SANDY RUN CREEK BRIDGE B-16-0157")</f>
        <v>SANDY RUN CREEK BRIDGE B-16-0157</v>
      </c>
      <c r="G2948" s="3" t="str">
        <f>CLEAN("CONSTRUCTION/BRIDGE NEW")</f>
        <v>CONSTRUCTION/BRIDGE NEW</v>
      </c>
      <c r="H2948" s="2" t="str">
        <f>CLEAN("STH 027")</f>
        <v>STH 027</v>
      </c>
      <c r="I2948" s="2" t="str">
        <f>CLEAN("303")</f>
        <v>303</v>
      </c>
    </row>
    <row r="2949" spans="1:9" x14ac:dyDescent="0.35">
      <c r="A2949" s="2" t="str">
        <f>CLEAN("STATEWIDE")</f>
        <v>STATEWIDE</v>
      </c>
      <c r="B2949" s="2" t="str">
        <f>CLEAN("U W SYSTEM")</f>
        <v>U W SYSTEM</v>
      </c>
      <c r="C2949" s="2" t="s">
        <v>3429</v>
      </c>
      <c r="D2949" s="2" t="str">
        <f>CLEAN("1000-50-22")</f>
        <v>1000-50-22</v>
      </c>
      <c r="E2949" s="3" t="str">
        <f>CLEAN("CONNECT AUTO ELEC VEH DEMO CENTER")</f>
        <v>CONNECT AUTO ELEC VEH DEMO CENTER</v>
      </c>
      <c r="F2949" s="3" t="str">
        <f>CLEAN("ELECTRIC ROAD SYSTEM ROADMAP")</f>
        <v>ELECTRIC ROAD SYSTEM ROADMAP</v>
      </c>
      <c r="G2949" s="3" t="str">
        <f>CLEAN("WI184 TPRD PROGRAM")</f>
        <v>WI184 TPRD PROGRAM</v>
      </c>
      <c r="H2949" s="2" t="str">
        <f>CLEAN("VAR HWY")</f>
        <v>VAR HWY</v>
      </c>
      <c r="I2949" s="2" t="str">
        <f>CLEAN("305")</f>
        <v>305</v>
      </c>
    </row>
    <row r="2950" spans="1:9" x14ac:dyDescent="0.35">
      <c r="A2950" s="2" t="str">
        <f>CLEAN("DANE")</f>
        <v>DANE</v>
      </c>
      <c r="B2950" s="2" t="str">
        <f>CLEAN("U W SYSTEM")</f>
        <v>U W SYSTEM</v>
      </c>
      <c r="C2950" s="2" t="s">
        <v>3410</v>
      </c>
      <c r="D2950" s="2" t="str">
        <f>CLEAN("3710-27-60")</f>
        <v>3710-27-60</v>
      </c>
      <c r="E2950" s="3" t="str">
        <f>CLEAN("CITY OF MADISON")</f>
        <v>CITY OF MADISON</v>
      </c>
      <c r="F2950" s="3" t="str">
        <f>CLEAN("USH 12/18 TO IH 39/90/94")</f>
        <v>USH 12/18 TO IH 39/90/94</v>
      </c>
      <c r="G2950" s="3" t="str">
        <f>CLEAN("TRF/SIGNAL UPGRADE/ITS")</f>
        <v>TRF/SIGNAL UPGRADE/ITS</v>
      </c>
      <c r="H2950" s="2" t="str">
        <f>CLEAN("USH 151")</f>
        <v>USH 151</v>
      </c>
      <c r="I2950" s="2" t="str">
        <f>CLEAN("305")</f>
        <v>305</v>
      </c>
    </row>
    <row r="2951" spans="1:9" x14ac:dyDescent="0.35">
      <c r="A2951" s="2" t="str">
        <f>CLEAN("DOUGLAS")</f>
        <v>DOUGLAS</v>
      </c>
      <c r="B2951" s="2" t="str">
        <f t="shared" ref="B2951:B2974" si="455">CLEAN("UNION PACIFIC RAILROAD CO")</f>
        <v>UNION PACIFIC RAILROAD CO</v>
      </c>
      <c r="C2951" s="2" t="s">
        <v>3250</v>
      </c>
      <c r="D2951" s="2" t="str">
        <f>CLEAN("1195-13-51")</f>
        <v>1195-13-51</v>
      </c>
      <c r="E2951" s="3" t="str">
        <f>CLEAN("C SUPERIOR  TOWER AVENUE")</f>
        <v>C SUPERIOR  TOWER AVENUE</v>
      </c>
      <c r="F2951" s="3" t="str">
        <f>CLEAN("UNION PACIFIC RR CROSSING 186-175T")</f>
        <v>UNION PACIFIC RR CROSSING 186-175T</v>
      </c>
      <c r="G2951" s="3" t="str">
        <f>CLEAN("RR OPS/RESURFACING")</f>
        <v>RR OPS/RESURFACING</v>
      </c>
      <c r="H2951" s="2" t="str">
        <f>CLEAN("STH 035")</f>
        <v>STH 035</v>
      </c>
      <c r="I2951" s="2" t="str">
        <f>CLEAN("303")</f>
        <v>303</v>
      </c>
    </row>
    <row r="2952" spans="1:9" x14ac:dyDescent="0.35">
      <c r="A2952" s="2" t="str">
        <f>CLEAN("DOUGLAS")</f>
        <v>DOUGLAS</v>
      </c>
      <c r="B2952" s="2" t="str">
        <f t="shared" si="455"/>
        <v>UNION PACIFIC RAILROAD CO</v>
      </c>
      <c r="C2952" s="2" t="s">
        <v>3203</v>
      </c>
      <c r="D2952" s="2" t="str">
        <f>CLEAN("1199-00-53")</f>
        <v>1199-00-53</v>
      </c>
      <c r="E2952" s="3" t="str">
        <f>CLEAN("SUPERIOR - DULUTH")</f>
        <v>SUPERIOR - DULUTH</v>
      </c>
      <c r="F2952" s="3" t="str">
        <f>CLEAN("WINTER ST  UP RR XING 186165M")</f>
        <v>WINTER ST  UP RR XING 186165M</v>
      </c>
      <c r="G2952" s="3" t="str">
        <f>CLEAN("RR OPS- SURFACE/SIDEWALK/1199-00-77")</f>
        <v>RR OPS- SURFACE/SIDEWALK/1199-00-77</v>
      </c>
      <c r="H2952" s="2" t="str">
        <f>CLEAN("LOC STR")</f>
        <v>LOC STR</v>
      </c>
      <c r="I2952" s="2" t="str">
        <f>CLEAN("304")</f>
        <v>304</v>
      </c>
    </row>
    <row r="2953" spans="1:9" x14ac:dyDescent="0.35">
      <c r="A2953" s="2" t="str">
        <f>CLEAN("DOUGLAS")</f>
        <v>DOUGLAS</v>
      </c>
      <c r="B2953" s="2" t="str">
        <f t="shared" si="455"/>
        <v>UNION PACIFIC RAILROAD CO</v>
      </c>
      <c r="C2953" s="2" t="s">
        <v>3196</v>
      </c>
      <c r="D2953" s="2" t="str">
        <f>CLEAN("1199-01-51")</f>
        <v>1199-01-51</v>
      </c>
      <c r="E2953" s="3" t="str">
        <f>CLEAN("SUPERIOR - DULUTH")</f>
        <v>SUPERIOR - DULUTH</v>
      </c>
      <c r="F2953" s="3" t="str">
        <f>CLEAN("BELKNAP STREET  UP RR XING 186157V")</f>
        <v>BELKNAP STREET  UP RR XING 186157V</v>
      </c>
      <c r="G2953" s="3" t="str">
        <f>CLEAN("RR OPS- SURFACE/1199-00-77")</f>
        <v>RR OPS- SURFACE/1199-00-77</v>
      </c>
      <c r="H2953" s="2" t="str">
        <f>CLEAN("USH 002")</f>
        <v>USH 002</v>
      </c>
      <c r="I2953" s="2" t="str">
        <f>CLEAN("304")</f>
        <v>304</v>
      </c>
    </row>
    <row r="2954" spans="1:9" x14ac:dyDescent="0.35">
      <c r="A2954" s="2" t="str">
        <f>CLEAN("OZAUKEE")</f>
        <v>OZAUKEE</v>
      </c>
      <c r="B2954" s="2" t="str">
        <f t="shared" si="455"/>
        <v>UNION PACIFIC RAILROAD CO</v>
      </c>
      <c r="C2954" s="2" t="s">
        <v>3291</v>
      </c>
      <c r="D2954" s="2" t="str">
        <f>CLEAN("1229-04-56")</f>
        <v>1229-04-56</v>
      </c>
      <c r="E2954" s="3" t="str">
        <f>CLEAN("I-43 NORTH SOUTH FREEWAY")</f>
        <v>I-43 NORTH SOUTH FREEWAY</v>
      </c>
      <c r="F2954" s="3" t="str">
        <f>CLEAN("HIGHLAND ROAD TO STH 60")</f>
        <v>HIGHLAND ROAD TO STH 60</v>
      </c>
      <c r="G2954" s="3" t="str">
        <f>CLEAN("RR/CROSSING SURFACE/180 116V")</f>
        <v>RR/CROSSING SURFACE/180 116V</v>
      </c>
      <c r="H2954" s="2" t="str">
        <f>CLEAN("IH  043")</f>
        <v>IH  043</v>
      </c>
      <c r="I2954" s="2" t="str">
        <f>CLEAN("302")</f>
        <v>302</v>
      </c>
    </row>
    <row r="2955" spans="1:9" x14ac:dyDescent="0.35">
      <c r="A2955" s="2" t="str">
        <f>CLEAN("ST. CROIX")</f>
        <v>ST. CROIX</v>
      </c>
      <c r="B2955" s="2" t="str">
        <f t="shared" si="455"/>
        <v>UNION PACIFIC RAILROAD CO</v>
      </c>
      <c r="C2955" s="2" t="s">
        <v>3243</v>
      </c>
      <c r="D2955" s="2" t="str">
        <f>CLEAN("1550-02-50")</f>
        <v>1550-02-50</v>
      </c>
      <c r="E2955" s="3" t="str">
        <f>CLEAN("V BALDWIN  USH 63")</f>
        <v>V BALDWIN  USH 63</v>
      </c>
      <c r="F2955" s="3" t="str">
        <f>CLEAN("UNION PACIFIC RR XING 183863C")</f>
        <v>UNION PACIFIC RR XING 183863C</v>
      </c>
      <c r="G2955" s="3" t="str">
        <f>CLEAN("RR OPS/RAIL-HIGHWAY CROSSING REPAIR")</f>
        <v>RR OPS/RAIL-HIGHWAY CROSSING REPAIR</v>
      </c>
      <c r="H2955" s="2" t="str">
        <f>CLEAN("USH 063")</f>
        <v>USH 063</v>
      </c>
      <c r="I2955" s="2" t="str">
        <f>CLEAN("207")</f>
        <v>207</v>
      </c>
    </row>
    <row r="2956" spans="1:9" x14ac:dyDescent="0.35">
      <c r="A2956" s="2" t="str">
        <f>CLEAN("WAUKESHA")</f>
        <v>WAUKESHA</v>
      </c>
      <c r="B2956" s="2" t="str">
        <f t="shared" si="455"/>
        <v>UNION PACIFIC RAILROAD CO</v>
      </c>
      <c r="C2956" s="2" t="s">
        <v>3293</v>
      </c>
      <c r="D2956" s="2" t="str">
        <f>CLEAN("2370-03-50")</f>
        <v>2370-03-50</v>
      </c>
      <c r="E2956" s="3" t="str">
        <f>CLEAN("STH 164  VILLAGE OF SUSSEX")</f>
        <v>STH 164  VILLAGE OF SUSSEX</v>
      </c>
      <c r="F2956" s="3" t="str">
        <f>CLEAN("UNION PACIFIC RR  XING 178794E")</f>
        <v>UNION PACIFIC RR  XING 178794E</v>
      </c>
      <c r="G2956" s="3" t="str">
        <f>CLEAN("RR/INSTALL NEW CROSSING SURFACE")</f>
        <v>RR/INSTALL NEW CROSSING SURFACE</v>
      </c>
      <c r="H2956" s="2" t="str">
        <f>CLEAN("STH 164")</f>
        <v>STH 164</v>
      </c>
      <c r="I2956" s="2" t="str">
        <f>CLEAN("207")</f>
        <v>207</v>
      </c>
    </row>
    <row r="2957" spans="1:9" x14ac:dyDescent="0.35">
      <c r="A2957" s="2" t="str">
        <f>CLEAN("RACINE")</f>
        <v>RACINE</v>
      </c>
      <c r="B2957" s="2" t="str">
        <f t="shared" si="455"/>
        <v>UNION PACIFIC RAILROAD CO</v>
      </c>
      <c r="C2957" s="2" t="s">
        <v>3298</v>
      </c>
      <c r="D2957" s="2" t="str">
        <f>CLEAN("2440-12-50")</f>
        <v>2440-12-50</v>
      </c>
      <c r="E2957" s="3" t="str">
        <f>CLEAN("WASHINGTON AVE  CITY OF RACINE")</f>
        <v>WASHINGTON AVE  CITY OF RACINE</v>
      </c>
      <c r="F2957" s="3" t="str">
        <f>CLEAN("WEST BLVD TO MARQUETTE STREET")</f>
        <v>WEST BLVD TO MARQUETTE STREET</v>
      </c>
      <c r="G2957" s="3" t="str">
        <f>CLEAN("RR/NEW CROSSING SURFACE 176 693L")</f>
        <v>RR/NEW CROSSING SURFACE 176 693L</v>
      </c>
      <c r="H2957" s="2" t="str">
        <f>CLEAN("STH 020")</f>
        <v>STH 020</v>
      </c>
      <c r="I2957" s="2" t="str">
        <f>CLEAN("303")</f>
        <v>303</v>
      </c>
    </row>
    <row r="2958" spans="1:9" x14ac:dyDescent="0.35">
      <c r="A2958" s="2" t="str">
        <f>CLEAN("KENOSHA")</f>
        <v>KENOSHA</v>
      </c>
      <c r="B2958" s="2" t="str">
        <f t="shared" si="455"/>
        <v>UNION PACIFIC RAILROAD CO</v>
      </c>
      <c r="C2958" s="2" t="s">
        <v>3299</v>
      </c>
      <c r="D2958" s="2" t="str">
        <f>CLEAN("3210-00-56")</f>
        <v>3210-00-56</v>
      </c>
      <c r="E2958" s="3" t="str">
        <f>CLEAN("CTH S")</f>
        <v>CTH S</v>
      </c>
      <c r="F2958" s="3" t="str">
        <f>CLEAN("UNION PACIFIC RR XING 176893V")</f>
        <v>UNION PACIFIC RR XING 176893V</v>
      </c>
      <c r="G2958" s="3" t="str">
        <f>CLEAN("RR/NEW RR CROSSING SURFACE")</f>
        <v>RR/NEW RR CROSSING SURFACE</v>
      </c>
      <c r="H2958" s="2" t="str">
        <f>CLEAN("CTH S")</f>
        <v>CTH S</v>
      </c>
      <c r="I2958" s="2" t="str">
        <f>CLEAN("206")</f>
        <v>206</v>
      </c>
    </row>
    <row r="2959" spans="1:9" x14ac:dyDescent="0.35">
      <c r="A2959" s="2" t="str">
        <f>CLEAN("KENOSHA")</f>
        <v>KENOSHA</v>
      </c>
      <c r="B2959" s="2" t="str">
        <f t="shared" si="455"/>
        <v>UNION PACIFIC RAILROAD CO</v>
      </c>
      <c r="C2959" s="2" t="s">
        <v>3303</v>
      </c>
      <c r="D2959" s="2" t="str">
        <f>CLEAN("3230-11-50")</f>
        <v>3230-11-50</v>
      </c>
      <c r="E2959" s="3" t="str">
        <f>CLEAN("STH 50")</f>
        <v>STH 50</v>
      </c>
      <c r="F2959" s="3" t="str">
        <f>CLEAN("UNION PACIFIC CROSSING")</f>
        <v>UNION PACIFIC CROSSING</v>
      </c>
      <c r="G2959" s="3" t="str">
        <f>CLEAN("RR/RENEW XING SURFACE 176 831X")</f>
        <v>RR/RENEW XING SURFACE 176 831X</v>
      </c>
      <c r="H2959" s="2" t="str">
        <f>CLEAN("STH 050")</f>
        <v>STH 050</v>
      </c>
      <c r="I2959" s="2" t="str">
        <f>CLEAN("302")</f>
        <v>302</v>
      </c>
    </row>
    <row r="2960" spans="1:9" x14ac:dyDescent="0.35">
      <c r="A2960" s="2" t="str">
        <f>CLEAN("ROCK")</f>
        <v>ROCK</v>
      </c>
      <c r="B2960" s="2" t="str">
        <f t="shared" si="455"/>
        <v>UNION PACIFIC RAILROAD CO</v>
      </c>
      <c r="C2960" s="2" t="s">
        <v>3217</v>
      </c>
      <c r="D2960" s="2" t="str">
        <f>CLEAN("3320-02-53")</f>
        <v>3320-02-53</v>
      </c>
      <c r="E2960" s="3" t="str">
        <f>CLEAN("BERGEN - EMERALD GROVE")</f>
        <v>BERGEN - EMERALD GROVE</v>
      </c>
      <c r="F2960" s="3" t="str">
        <f>CLEAN("UNION PACIFIC RR XING 177968V")</f>
        <v>UNION PACIFIC RR XING 177968V</v>
      </c>
      <c r="G2960" s="3" t="str">
        <f>CLEAN("RR OPS/CROSSING REPAIR")</f>
        <v>RR OPS/CROSSING REPAIR</v>
      </c>
      <c r="H2960" s="2" t="str">
        <f>CLEAN("STH 140")</f>
        <v>STH 140</v>
      </c>
      <c r="I2960" s="2" t="str">
        <f>CLEAN("207")</f>
        <v>207</v>
      </c>
    </row>
    <row r="2961" spans="1:9" x14ac:dyDescent="0.35">
      <c r="A2961" s="2" t="str">
        <f>CLEAN("KENOSHA")</f>
        <v>KENOSHA</v>
      </c>
      <c r="B2961" s="2" t="str">
        <f t="shared" si="455"/>
        <v>UNION PACIFIC RAILROAD CO</v>
      </c>
      <c r="C2961" s="2" t="s">
        <v>3287</v>
      </c>
      <c r="D2961" s="2" t="str">
        <f>CLEAN("3330-08-50")</f>
        <v>3330-08-50</v>
      </c>
      <c r="E2961" s="3" t="str">
        <f>CLEAN("STH 31")</f>
        <v>STH 31</v>
      </c>
      <c r="F2961" s="3" t="str">
        <f>CLEAN("RAIL HWY CROSSING REPAIR 176-830R")</f>
        <v>RAIL HWY CROSSING REPAIR 176-830R</v>
      </c>
      <c r="G2961" s="3" t="str">
        <f>CLEAN("RR/CROSSING REPAIR")</f>
        <v>RR/CROSSING REPAIR</v>
      </c>
      <c r="H2961" s="2" t="str">
        <f>CLEAN("STH 031")</f>
        <v>STH 031</v>
      </c>
      <c r="I2961" s="2" t="str">
        <f>CLEAN("207")</f>
        <v>207</v>
      </c>
    </row>
    <row r="2962" spans="1:9" x14ac:dyDescent="0.35">
      <c r="A2962" s="2" t="str">
        <f>CLEAN("ROCK")</f>
        <v>ROCK</v>
      </c>
      <c r="B2962" s="2" t="str">
        <f t="shared" si="455"/>
        <v>UNION PACIFIC RAILROAD CO</v>
      </c>
      <c r="C2962" s="2" t="s">
        <v>3226</v>
      </c>
      <c r="D2962" s="2" t="str">
        <f>CLEAN("3663-00-50")</f>
        <v>3663-00-50</v>
      </c>
      <c r="E2962" s="3" t="str">
        <f>CLEAN("BELOIT - WALWORTH")</f>
        <v>BELOIT - WALWORTH</v>
      </c>
      <c r="F2962" s="3" t="str">
        <f>CLEAN("UNION PACIFIC RR XING 924196A")</f>
        <v>UNION PACIFIC RR XING 924196A</v>
      </c>
      <c r="G2962" s="3" t="str">
        <f>CLEAN("RR OPS/CROSSING SURFACE")</f>
        <v>RR OPS/CROSSING SURFACE</v>
      </c>
      <c r="H2962" s="2" t="str">
        <f>CLEAN("STH 067")</f>
        <v>STH 067</v>
      </c>
      <c r="I2962" s="2" t="str">
        <f t="shared" ref="I2962:I2968" si="456">CLEAN("303")</f>
        <v>303</v>
      </c>
    </row>
    <row r="2963" spans="1:9" x14ac:dyDescent="0.35">
      <c r="A2963" s="2" t="str">
        <f>CLEAN("WALWORTH")</f>
        <v>WALWORTH</v>
      </c>
      <c r="B2963" s="2" t="str">
        <f t="shared" si="455"/>
        <v>UNION PACIFIC RAILROAD CO</v>
      </c>
      <c r="C2963" s="2" t="s">
        <v>3285</v>
      </c>
      <c r="D2963" s="2" t="str">
        <f>CLEAN("3706-01-51")</f>
        <v>3706-01-51</v>
      </c>
      <c r="E2963" s="3" t="str">
        <f>CLEAN("SHARON - WALWORTH")</f>
        <v>SHARON - WALWORTH</v>
      </c>
      <c r="F2963" s="3" t="str">
        <f>CLEAN("SALT BOX ROAD TO USH 14")</f>
        <v>SALT BOX ROAD TO USH 14</v>
      </c>
      <c r="G2963" s="3" t="str">
        <f>CLEAN("RR/177027A/INSTALL NEW RR XING SRFC")</f>
        <v>RR/177027A/INSTALL NEW RR XING SRFC</v>
      </c>
      <c r="H2963" s="2" t="str">
        <f>CLEAN("STH 067")</f>
        <v>STH 067</v>
      </c>
      <c r="I2963" s="2" t="str">
        <f t="shared" si="456"/>
        <v>303</v>
      </c>
    </row>
    <row r="2964" spans="1:9" x14ac:dyDescent="0.35">
      <c r="A2964" s="2" t="str">
        <f>CLEAN("RACINE")</f>
        <v>RACINE</v>
      </c>
      <c r="B2964" s="2" t="str">
        <f t="shared" si="455"/>
        <v>UNION PACIFIC RAILROAD CO</v>
      </c>
      <c r="C2964" s="2" t="s">
        <v>753</v>
      </c>
      <c r="D2964" s="2" t="str">
        <f>CLEAN("3763-00-74")</f>
        <v>3763-00-74</v>
      </c>
      <c r="E2964" s="3" t="str">
        <f>CLEAN("CTH KR  V MT PLEASANT")</f>
        <v>CTH KR  V MT PLEASANT</v>
      </c>
      <c r="F2964" s="3" t="str">
        <f>CLEAN("CTH H TO OLD GREENBAY ROAD")</f>
        <v>CTH H TO OLD GREENBAY ROAD</v>
      </c>
      <c r="G2964" s="3" t="str">
        <f>CLEAN("CONST/RECONST W/ ADDED CAPACITY")</f>
        <v>CONST/RECONST W/ ADDED CAPACITY</v>
      </c>
      <c r="H2964" s="2" t="str">
        <f>CLEAN("CTH KR")</f>
        <v>CTH KR</v>
      </c>
      <c r="I2964" s="2" t="str">
        <f t="shared" si="456"/>
        <v>303</v>
      </c>
    </row>
    <row r="2965" spans="1:9" x14ac:dyDescent="0.35">
      <c r="A2965" s="2" t="str">
        <f>CLEAN("ROCK")</f>
        <v>ROCK</v>
      </c>
      <c r="B2965" s="2" t="str">
        <f t="shared" si="455"/>
        <v>UNION PACIFIC RAILROAD CO</v>
      </c>
      <c r="C2965" s="2" t="s">
        <v>3225</v>
      </c>
      <c r="D2965" s="2" t="str">
        <f>CLEAN("5350-02-50")</f>
        <v>5350-02-50</v>
      </c>
      <c r="E2965" s="3" t="str">
        <f>CLEAN("C JANESVILLE  CENTER AVENUE")</f>
        <v>C JANESVILLE  CENTER AVENUE</v>
      </c>
      <c r="F2965" s="3" t="str">
        <f>CLEAN("UNION PACIFIC RR XING 177418U")</f>
        <v>UNION PACIFIC RR XING 177418U</v>
      </c>
      <c r="G2965" s="3" t="str">
        <f>CLEAN("RR OPS/CROSSING SURFACE")</f>
        <v>RR OPS/CROSSING SURFACE</v>
      </c>
      <c r="H2965" s="2" t="str">
        <f>CLEAN("USH 051")</f>
        <v>USH 051</v>
      </c>
      <c r="I2965" s="2" t="str">
        <f t="shared" si="456"/>
        <v>303</v>
      </c>
    </row>
    <row r="2966" spans="1:9" x14ac:dyDescent="0.35">
      <c r="A2966" s="2" t="str">
        <f>CLEAN("ROCK")</f>
        <v>ROCK</v>
      </c>
      <c r="B2966" s="2" t="str">
        <f t="shared" si="455"/>
        <v>UNION PACIFIC RAILROAD CO</v>
      </c>
      <c r="C2966" s="2" t="s">
        <v>3308</v>
      </c>
      <c r="D2966" s="2" t="str">
        <f>CLEAN("5390-01-52")</f>
        <v>5390-01-52</v>
      </c>
      <c r="E2966" s="3" t="str">
        <f>CLEAN("JANESVILLE - STOUGHTON")</f>
        <v>JANESVILLE - STOUGHTON</v>
      </c>
      <c r="F2966" s="3" t="str">
        <f>CLEAN("UP RR XING 178680S MP 94.6")</f>
        <v>UP RR XING 178680S MP 94.6</v>
      </c>
      <c r="G2966" s="3" t="str">
        <f>CLEAN("RR/SURFACE DETOUR/178680S/PVRPLA")</f>
        <v>RR/SURFACE DETOUR/178680S/PVRPLA</v>
      </c>
      <c r="H2966" s="2" t="str">
        <f>CLEAN("USH 051")</f>
        <v>USH 051</v>
      </c>
      <c r="I2966" s="2" t="str">
        <f t="shared" si="456"/>
        <v>303</v>
      </c>
    </row>
    <row r="2967" spans="1:9" x14ac:dyDescent="0.35">
      <c r="A2967" s="2" t="str">
        <f>CLEAN("ROCK")</f>
        <v>ROCK</v>
      </c>
      <c r="B2967" s="2" t="str">
        <f t="shared" si="455"/>
        <v>UNION PACIFIC RAILROAD CO</v>
      </c>
      <c r="C2967" s="2" t="s">
        <v>3282</v>
      </c>
      <c r="D2967" s="2" t="str">
        <f>CLEAN("5569-00-50")</f>
        <v>5569-00-50</v>
      </c>
      <c r="E2967" s="3" t="str">
        <f>CLEAN("EVANSVILLE - JANESVILLE")</f>
        <v>EVANSVILLE - JANESVILLE</v>
      </c>
      <c r="F2967" s="3" t="str">
        <f>CLEAN("UNION PACIFIC RR XING 178680S")</f>
        <v>UNION PACIFIC RR XING 178680S</v>
      </c>
      <c r="G2967" s="3" t="str">
        <f>CLEAN("RR OPS/XING SURFACE IMPROVEMENTS")</f>
        <v>RR OPS/XING SURFACE IMPROVEMENTS</v>
      </c>
      <c r="H2967" s="2" t="str">
        <f>CLEAN("USH 014")</f>
        <v>USH 014</v>
      </c>
      <c r="I2967" s="2" t="str">
        <f t="shared" si="456"/>
        <v>303</v>
      </c>
    </row>
    <row r="2968" spans="1:9" x14ac:dyDescent="0.35">
      <c r="A2968" s="2" t="str">
        <f>CLEAN("ADAMS")</f>
        <v>ADAMS</v>
      </c>
      <c r="B2968" s="2" t="str">
        <f t="shared" si="455"/>
        <v>UNION PACIFIC RAILROAD CO</v>
      </c>
      <c r="C2968" s="2" t="s">
        <v>1002</v>
      </c>
      <c r="D2968" s="2" t="str">
        <f>CLEAN("6140-01-52")</f>
        <v>6140-01-52</v>
      </c>
      <c r="E2968" s="3" t="str">
        <f>CLEAN("WISCONSIN DELLS - ADAMS")</f>
        <v>WISCONSIN DELLS - ADAMS</v>
      </c>
      <c r="F2968" s="3" t="str">
        <f>CLEAN("CTH E TO UNION PACIFIC RAILROAD")</f>
        <v>CTH E TO UNION PACIFIC RAILROAD</v>
      </c>
      <c r="G2968" s="3" t="str">
        <f>CLEAN("CONST/RESURFACE/UNION PACIFIC RR")</f>
        <v>CONST/RESURFACE/UNION PACIFIC RR</v>
      </c>
      <c r="H2968" s="2" t="str">
        <f>CLEAN("STH 013")</f>
        <v>STH 013</v>
      </c>
      <c r="I2968" s="2" t="str">
        <f t="shared" si="456"/>
        <v>303</v>
      </c>
    </row>
    <row r="2969" spans="1:9" x14ac:dyDescent="0.35">
      <c r="A2969" s="2" t="str">
        <f>CLEAN("MONROE")</f>
        <v>MONROE</v>
      </c>
      <c r="B2969" s="2" t="str">
        <f t="shared" si="455"/>
        <v>UNION PACIFIC RAILROAD CO</v>
      </c>
      <c r="C2969" s="2" t="s">
        <v>3238</v>
      </c>
      <c r="D2969" s="2" t="str">
        <f>CLEAN("7189-04-51")</f>
        <v>7189-04-51</v>
      </c>
      <c r="E2969" s="3" t="str">
        <f>CLEAN("C TOMAH  USH 12")</f>
        <v>C TOMAH  USH 12</v>
      </c>
      <c r="F2969" s="3" t="str">
        <f>CLEAN("UNION PACIFIC RR XING 179298M")</f>
        <v>UNION PACIFIC RR XING 179298M</v>
      </c>
      <c r="G2969" s="3" t="str">
        <f>CLEAN("RR OPS/NEW CROSSING SURFACE/MISC")</f>
        <v>RR OPS/NEW CROSSING SURFACE/MISC</v>
      </c>
      <c r="H2969" s="2" t="str">
        <f>CLEAN("USH 012")</f>
        <v>USH 012</v>
      </c>
      <c r="I2969" s="2" t="str">
        <f>CLEAN("207")</f>
        <v>207</v>
      </c>
    </row>
    <row r="2970" spans="1:9" x14ac:dyDescent="0.35">
      <c r="A2970" s="2" t="str">
        <f>CLEAN("JACKSON")</f>
        <v>JACKSON</v>
      </c>
      <c r="B2970" s="2" t="str">
        <f t="shared" si="455"/>
        <v>UNION PACIFIC RAILROAD CO</v>
      </c>
      <c r="C2970" s="2" t="s">
        <v>3240</v>
      </c>
      <c r="D2970" s="2" t="str">
        <f>CLEAN("7510-02-52")</f>
        <v>7510-02-52</v>
      </c>
      <c r="E2970" s="3" t="str">
        <f>CLEAN("BLACK RIVER FALLS - CITY POINT")</f>
        <v>BLACK RIVER FALLS - CITY POINT</v>
      </c>
      <c r="F2970" s="3" t="str">
        <f>CLEAN("UNION PACIFIC RAILROAD 184 041M")</f>
        <v>UNION PACIFIC RAILROAD 184 041M</v>
      </c>
      <c r="G2970" s="3" t="str">
        <f>CLEAN("RR OPS/RAIL CROSSING REPAIR")</f>
        <v>RR OPS/RAIL CROSSING REPAIR</v>
      </c>
      <c r="H2970" s="2" t="str">
        <f>CLEAN("STH 054")</f>
        <v>STH 054</v>
      </c>
      <c r="I2970" s="2" t="str">
        <f>CLEAN("303")</f>
        <v>303</v>
      </c>
    </row>
    <row r="2971" spans="1:9" x14ac:dyDescent="0.35">
      <c r="A2971" s="2" t="str">
        <f>CLEAN("JACKSON")</f>
        <v>JACKSON</v>
      </c>
      <c r="B2971" s="2" t="str">
        <f t="shared" si="455"/>
        <v>UNION PACIFIC RAILROAD CO</v>
      </c>
      <c r="C2971" s="2" t="s">
        <v>3244</v>
      </c>
      <c r="D2971" s="2" t="str">
        <f>CLEAN("7520-01-50")</f>
        <v>7520-01-50</v>
      </c>
      <c r="E2971" s="3" t="str">
        <f>CLEAN("MERRILLAN - NEILLSVILLE")</f>
        <v>MERRILLAN - NEILLSVILLE</v>
      </c>
      <c r="F2971" s="3" t="str">
        <f>CLEAN("UNION PACIFIC RR XING 184025D")</f>
        <v>UNION PACIFIC RR XING 184025D</v>
      </c>
      <c r="G2971" s="3" t="str">
        <f>CLEAN("RR OPS/RAIL-HIGHWAY CROSSING REPAIR")</f>
        <v>RR OPS/RAIL-HIGHWAY CROSSING REPAIR</v>
      </c>
      <c r="H2971" s="2" t="str">
        <f>CLEAN("STH 095")</f>
        <v>STH 095</v>
      </c>
      <c r="I2971" s="2" t="str">
        <f>CLEAN("207")</f>
        <v>207</v>
      </c>
    </row>
    <row r="2972" spans="1:9" x14ac:dyDescent="0.35">
      <c r="A2972" s="2" t="str">
        <f>CLEAN("DUNN")</f>
        <v>DUNN</v>
      </c>
      <c r="B2972" s="2" t="str">
        <f t="shared" si="455"/>
        <v>UNION PACIFIC RAILROAD CO</v>
      </c>
      <c r="C2972" s="2" t="s">
        <v>3111</v>
      </c>
      <c r="D2972" s="2" t="str">
        <f>CLEAN("8640-00-52")</f>
        <v>8640-00-52</v>
      </c>
      <c r="E2972" s="3" t="str">
        <f>CLEAN("MENOMONIE - CONNORSVILLE")</f>
        <v>MENOMONIE - CONNORSVILLE</v>
      </c>
      <c r="F2972" s="3" t="str">
        <f>CLEAN("UNION PACIFIC RR XING 183906L")</f>
        <v>UNION PACIFIC RR XING 183906L</v>
      </c>
      <c r="G2972" s="3" t="str">
        <f>CLEAN("R/R OPS/CROSSING SURFACE")</f>
        <v>R/R OPS/CROSSING SURFACE</v>
      </c>
      <c r="H2972" s="2" t="str">
        <f>CLEAN("STH 079")</f>
        <v>STH 079</v>
      </c>
      <c r="I2972" s="2" t="str">
        <f>CLEAN("207")</f>
        <v>207</v>
      </c>
    </row>
    <row r="2973" spans="1:9" x14ac:dyDescent="0.35">
      <c r="A2973" s="2" t="str">
        <f>CLEAN("DUNN")</f>
        <v>DUNN</v>
      </c>
      <c r="B2973" s="2" t="str">
        <f t="shared" si="455"/>
        <v>UNION PACIFIC RAILROAD CO</v>
      </c>
      <c r="C2973" s="2" t="s">
        <v>3227</v>
      </c>
      <c r="D2973" s="2" t="str">
        <f>CLEAN("8923-06-51")</f>
        <v>8923-06-51</v>
      </c>
      <c r="E2973" s="3" t="str">
        <f>CLEAN("CO DUNN  CTH B")</f>
        <v>CO DUNN  CTH B</v>
      </c>
      <c r="F2973" s="3" t="str">
        <f>CLEAN("UP RR XING 183913W")</f>
        <v>UP RR XING 183913W</v>
      </c>
      <c r="G2973" s="3" t="str">
        <f>CLEAN("RR OPS/CROSSING SURFACE")</f>
        <v>RR OPS/CROSSING SURFACE</v>
      </c>
      <c r="H2973" s="2" t="str">
        <f>CLEAN("CTH B")</f>
        <v>CTH B</v>
      </c>
      <c r="I2973" s="2" t="str">
        <f>CLEAN("206")</f>
        <v>206</v>
      </c>
    </row>
    <row r="2974" spans="1:9" x14ac:dyDescent="0.35">
      <c r="A2974" s="2" t="str">
        <f>CLEAN("DOUGLAS")</f>
        <v>DOUGLAS</v>
      </c>
      <c r="B2974" s="2" t="str">
        <f t="shared" si="455"/>
        <v>UNION PACIFIC RAILROAD CO</v>
      </c>
      <c r="C2974" s="2" t="s">
        <v>3241</v>
      </c>
      <c r="D2974" s="2" t="str">
        <f>CLEAN("8998-00-56")</f>
        <v>8998-00-56</v>
      </c>
      <c r="E2974" s="3" t="str">
        <f>CLEAN("C SUPERIOR  N 28TH STREET")</f>
        <v>C SUPERIOR  N 28TH STREET</v>
      </c>
      <c r="F2974" s="3" t="str">
        <f>CLEAN("UNION PACIFIC RR CROSSING 186 144U")</f>
        <v>UNION PACIFIC RR CROSSING 186 144U</v>
      </c>
      <c r="G2974" s="3" t="str">
        <f>CLEAN("RR OPS/RAIL XING ROADWAY SURFACE")</f>
        <v>RR OPS/RAIL XING ROADWAY SURFACE</v>
      </c>
      <c r="H2974" s="2" t="str">
        <f>CLEAN("LOC STR")</f>
        <v>LOC STR</v>
      </c>
      <c r="I2974" s="2" t="str">
        <f>CLEAN("206")</f>
        <v>206</v>
      </c>
    </row>
    <row r="2975" spans="1:9" x14ac:dyDescent="0.35">
      <c r="A2975" s="2" t="str">
        <f>CLEAN("STATEWIDE")</f>
        <v>STATEWIDE</v>
      </c>
      <c r="B2975" s="2" t="str">
        <f>CLEAN("UW FOND DU LAC")</f>
        <v>UW FOND DU LAC</v>
      </c>
      <c r="C2975" s="2" t="s">
        <v>1379</v>
      </c>
      <c r="D2975" s="2" t="str">
        <f>CLEAN("1000-20-78")</f>
        <v>1000-20-78</v>
      </c>
      <c r="E2975" s="3" t="str">
        <f>CLEAN("STATEWIDE TYPE 1 SIGN REPLACEMENT")</f>
        <v>STATEWIDE TYPE 1 SIGN REPLACEMENT</v>
      </c>
      <c r="F2975" s="3" t="str">
        <f>CLEAN("LOCATIONS ON STN PER ANNUAL PLAN")</f>
        <v>LOCATIONS ON STN PER ANNUAL PLAN</v>
      </c>
      <c r="G2975" s="3" t="str">
        <f>CLEAN("CONSTRUCTION/SIGN REPLACEMENTS")</f>
        <v>CONSTRUCTION/SIGN REPLACEMENTS</v>
      </c>
      <c r="H2975" s="2" t="str">
        <f>CLEAN("VAR HWY")</f>
        <v>VAR HWY</v>
      </c>
      <c r="I2975" s="2" t="str">
        <f>CLEAN("305")</f>
        <v>305</v>
      </c>
    </row>
    <row r="2976" spans="1:9" x14ac:dyDescent="0.35">
      <c r="A2976" s="2" t="str">
        <f t="shared" ref="A2976:A3012" si="457">CLEAN("VERNON")</f>
        <v>VERNON</v>
      </c>
      <c r="B2976" s="2" t="str">
        <f t="shared" ref="B2976:B3012" si="458">CLEAN("VERNON COUNTY")</f>
        <v>VERNON COUNTY</v>
      </c>
      <c r="C2976" s="2" t="s">
        <v>1454</v>
      </c>
      <c r="D2976" s="2" t="str">
        <f>CLEAN("5269-05-00")</f>
        <v>5269-05-00</v>
      </c>
      <c r="E2976" s="3" t="str">
        <f>CLEAN("CTH V - CTH WW (CTH F)")</f>
        <v>CTH V - CTH WW (CTH F)</v>
      </c>
      <c r="F2976" s="3" t="str">
        <f>CLEAN("HILLS CREEK BRIDGE B-62-0043")</f>
        <v>HILLS CREEK BRIDGE B-62-0043</v>
      </c>
      <c r="G2976" s="3" t="str">
        <f>CLEAN("DESIGN - FULL PS&amp;E BRRPL")</f>
        <v>DESIGN - FULL PS&amp;E BRRPL</v>
      </c>
      <c r="H2976" s="2" t="str">
        <f>CLEAN("CTH F")</f>
        <v>CTH F</v>
      </c>
      <c r="I2976" s="2" t="str">
        <f>CLEAN("205")</f>
        <v>205</v>
      </c>
    </row>
    <row r="2977" spans="1:9" x14ac:dyDescent="0.35">
      <c r="A2977" s="2" t="str">
        <f t="shared" si="457"/>
        <v>VERNON</v>
      </c>
      <c r="B2977" s="2" t="str">
        <f t="shared" si="458"/>
        <v>VERNON COUNTY</v>
      </c>
      <c r="C2977" s="2" t="s">
        <v>1480</v>
      </c>
      <c r="D2977" s="2" t="str">
        <f>CLEAN("5287-00-03")</f>
        <v>5287-00-03</v>
      </c>
      <c r="E2977" s="3" t="str">
        <f>CLEAN("CTH NN - STH 56 (CTH N)")</f>
        <v>CTH NN - STH 56 (CTH N)</v>
      </c>
      <c r="F2977" s="3" t="str">
        <f>CLEAN("S FK BAD AXE RIVER BRIDGE P-62-0093")</f>
        <v>S FK BAD AXE RIVER BRIDGE P-62-0093</v>
      </c>
      <c r="G2977" s="3" t="str">
        <f>CLEAN("DESIGN - FULL PS&amp;E BRRPL")</f>
        <v>DESIGN - FULL PS&amp;E BRRPL</v>
      </c>
      <c r="H2977" s="2" t="str">
        <f>CLEAN("CTH N")</f>
        <v>CTH N</v>
      </c>
      <c r="I2977" s="2" t="str">
        <f>CLEAN("205")</f>
        <v>205</v>
      </c>
    </row>
    <row r="2978" spans="1:9" x14ac:dyDescent="0.35">
      <c r="A2978" s="2" t="str">
        <f t="shared" si="457"/>
        <v>VERNON</v>
      </c>
      <c r="B2978" s="2" t="str">
        <f t="shared" si="458"/>
        <v>VERNON COUNTY</v>
      </c>
      <c r="C2978" s="2" t="s">
        <v>1762</v>
      </c>
      <c r="D2978" s="2" t="str">
        <f>CLEAN("5289-00-04")</f>
        <v>5289-00-04</v>
      </c>
      <c r="E2978" s="3" t="str">
        <f>CLEAN("CTH S - CTH D (CTH P)")</f>
        <v>CTH S - CTH D (CTH P)</v>
      </c>
      <c r="F2978" s="3" t="str">
        <f>CLEAN("BR W FK KICKAPOO BRIDGE B-62-0108")</f>
        <v>BR W FK KICKAPOO BRIDGE B-62-0108</v>
      </c>
      <c r="G2978" s="3" t="str">
        <f>CLEAN("DESIGN/BRIDGE REPLACEMENT")</f>
        <v>DESIGN/BRIDGE REPLACEMENT</v>
      </c>
      <c r="H2978" s="2" t="str">
        <f>CLEAN("CTH P")</f>
        <v>CTH P</v>
      </c>
      <c r="I2978" s="2" t="str">
        <f>CLEAN("205")</f>
        <v>205</v>
      </c>
    </row>
    <row r="2979" spans="1:9" x14ac:dyDescent="0.35">
      <c r="A2979" s="2" t="str">
        <f t="shared" si="457"/>
        <v>VERNON</v>
      </c>
      <c r="B2979" s="2" t="str">
        <f t="shared" si="458"/>
        <v>VERNON COUNTY</v>
      </c>
      <c r="C2979" s="2" t="s">
        <v>1429</v>
      </c>
      <c r="D2979" s="2" t="str">
        <f>CLEAN("5289-00-05")</f>
        <v>5289-00-05</v>
      </c>
      <c r="E2979" s="3" t="str">
        <f>CLEAN("BLOOMINGTON - CTH P (CTH S)")</f>
        <v>BLOOMINGTON - CTH P (CTH S)</v>
      </c>
      <c r="F2979" s="3" t="str">
        <f>CLEAN("BR W FK KICKAPOO RVR BDGE P-62-0127")</f>
        <v>BR W FK KICKAPOO RVR BDGE P-62-0127</v>
      </c>
      <c r="G2979" s="3" t="str">
        <f>CLEAN("DESIGN - FULL PS&amp;E BRRPL")</f>
        <v>DESIGN - FULL PS&amp;E BRRPL</v>
      </c>
      <c r="H2979" s="2" t="str">
        <f>CLEAN("CTH S")</f>
        <v>CTH S</v>
      </c>
      <c r="I2979" s="2" t="str">
        <f>CLEAN("205")</f>
        <v>205</v>
      </c>
    </row>
    <row r="2980" spans="1:9" x14ac:dyDescent="0.35">
      <c r="A2980" s="2" t="str">
        <f t="shared" si="457"/>
        <v>VERNON</v>
      </c>
      <c r="B2980" s="2" t="str">
        <f t="shared" si="458"/>
        <v>VERNON COUNTY</v>
      </c>
      <c r="C2980" s="2" t="s">
        <v>2209</v>
      </c>
      <c r="D2980" s="2" t="str">
        <f>CLEAN("5295-00-01")</f>
        <v>5295-00-01</v>
      </c>
      <c r="E2980" s="3" t="str">
        <f>CLEAN("T LIBERTY - STH 56")</f>
        <v>T LIBERTY - STH 56</v>
      </c>
      <c r="F2980" s="3" t="str">
        <f>CLEAN("PEA VINE ROAD TO STH 56")</f>
        <v>PEA VINE ROAD TO STH 56</v>
      </c>
      <c r="G2980" s="3" t="str">
        <f>CLEAN("DESIGN/PLAN CHECK REVIEW/RECST")</f>
        <v>DESIGN/PLAN CHECK REVIEW/RECST</v>
      </c>
      <c r="H2980" s="2" t="str">
        <f>CLEAN("CTH SS")</f>
        <v>CTH SS</v>
      </c>
      <c r="I2980" s="2" t="str">
        <f>CLEAN("206")</f>
        <v>206</v>
      </c>
    </row>
    <row r="2981" spans="1:9" x14ac:dyDescent="0.35">
      <c r="A2981" s="2" t="str">
        <f t="shared" si="457"/>
        <v>VERNON</v>
      </c>
      <c r="B2981" s="2" t="str">
        <f t="shared" si="458"/>
        <v>VERNON COUNTY</v>
      </c>
      <c r="C2981" s="2" t="s">
        <v>93</v>
      </c>
      <c r="D2981" s="2" t="str">
        <f>CLEAN("5295-00-70")</f>
        <v>5295-00-70</v>
      </c>
      <c r="E2981" s="3" t="str">
        <f>CLEAN("T WEBSTER  SOUTH ELK RUN ROAD")</f>
        <v>T WEBSTER  SOUTH ELK RUN ROAD</v>
      </c>
      <c r="F2981" s="3" t="str">
        <f>CLEAN("ELK RUN BRIDGE B-62-0254")</f>
        <v>ELK RUN BRIDGE B-62-0254</v>
      </c>
      <c r="G2981" s="3" t="str">
        <f>CLEAN("CONST OPS/BRIDGE REPLACEMENT")</f>
        <v>CONST OPS/BRIDGE REPLACEMENT</v>
      </c>
      <c r="H2981" s="2" t="str">
        <f>CLEAN("LOC STR")</f>
        <v>LOC STR</v>
      </c>
      <c r="I2981" s="2" t="str">
        <f>CLEAN("205")</f>
        <v>205</v>
      </c>
    </row>
    <row r="2982" spans="1:9" x14ac:dyDescent="0.35">
      <c r="A2982" s="2" t="str">
        <f t="shared" si="457"/>
        <v>VERNON</v>
      </c>
      <c r="B2982" s="2" t="str">
        <f t="shared" si="458"/>
        <v>VERNON COUNTY</v>
      </c>
      <c r="C2982" s="2" t="s">
        <v>258</v>
      </c>
      <c r="D2982" s="2" t="str">
        <f>CLEAN("5305-00-71")</f>
        <v>5305-00-71</v>
      </c>
      <c r="E2982" s="3" t="str">
        <f>CLEAN("T LIBERTY - STH 56")</f>
        <v>T LIBERTY - STH 56</v>
      </c>
      <c r="F2982" s="3" t="str">
        <f>CLEAN("PEA VINE ROAD TO STH 56")</f>
        <v>PEA VINE ROAD TO STH 56</v>
      </c>
      <c r="G2982" s="3" t="str">
        <f>CLEAN("CONST OPS/RECONSTRUCTION")</f>
        <v>CONST OPS/RECONSTRUCTION</v>
      </c>
      <c r="H2982" s="2" t="str">
        <f>CLEAN("CTH SS")</f>
        <v>CTH SS</v>
      </c>
      <c r="I2982" s="2" t="str">
        <f>CLEAN("206")</f>
        <v>206</v>
      </c>
    </row>
    <row r="2983" spans="1:9" x14ac:dyDescent="0.35">
      <c r="A2983" s="2" t="str">
        <f t="shared" si="457"/>
        <v>VERNON</v>
      </c>
      <c r="B2983" s="2" t="str">
        <f t="shared" si="458"/>
        <v>VERNON COUNTY</v>
      </c>
      <c r="C2983" s="2" t="s">
        <v>1826</v>
      </c>
      <c r="D2983" s="2" t="str">
        <f>CLEAN("5317-00-02")</f>
        <v>5317-00-02</v>
      </c>
      <c r="E2983" s="3" t="str">
        <f>CLEAN("TOWN OF CLINTON  EVENSTAD ROAD")</f>
        <v>TOWN OF CLINTON  EVENSTAD ROAD</v>
      </c>
      <c r="F2983" s="3" t="str">
        <f>CLEAN("WEISTER CREEK BRIDGE P-62-0906")</f>
        <v>WEISTER CREEK BRIDGE P-62-0906</v>
      </c>
      <c r="G2983" s="3" t="str">
        <f>CLEAN("DESIGN/BRIDGE REPLACEMENT")</f>
        <v>DESIGN/BRIDGE REPLACEMENT</v>
      </c>
      <c r="H2983" s="2" t="str">
        <f t="shared" ref="H2983:H2996" si="459">CLEAN("LOC STR")</f>
        <v>LOC STR</v>
      </c>
      <c r="I2983" s="2" t="str">
        <f t="shared" ref="I2983:I3010" si="460">CLEAN("205")</f>
        <v>205</v>
      </c>
    </row>
    <row r="2984" spans="1:9" x14ac:dyDescent="0.35">
      <c r="A2984" s="2" t="str">
        <f t="shared" si="457"/>
        <v>VERNON</v>
      </c>
      <c r="B2984" s="2" t="str">
        <f t="shared" si="458"/>
        <v>VERNON COUNTY</v>
      </c>
      <c r="C2984" s="2" t="s">
        <v>139</v>
      </c>
      <c r="D2984" s="2" t="str">
        <f>CLEAN("5317-00-72")</f>
        <v>5317-00-72</v>
      </c>
      <c r="E2984" s="3" t="str">
        <f>CLEAN("TOWN OF CLINTON  EVENSTAD ROAD")</f>
        <v>TOWN OF CLINTON  EVENSTAD ROAD</v>
      </c>
      <c r="F2984" s="3" t="str">
        <f>CLEAN("WEISTER CREEK BRIDGE B-62-0273")</f>
        <v>WEISTER CREEK BRIDGE B-62-0273</v>
      </c>
      <c r="G2984" s="3" t="str">
        <f>CLEAN("CONST OPS/BRIDGE REPLACEMENT")</f>
        <v>CONST OPS/BRIDGE REPLACEMENT</v>
      </c>
      <c r="H2984" s="2" t="str">
        <f t="shared" si="459"/>
        <v>LOC STR</v>
      </c>
      <c r="I2984" s="2" t="str">
        <f t="shared" si="460"/>
        <v>205</v>
      </c>
    </row>
    <row r="2985" spans="1:9" x14ac:dyDescent="0.35">
      <c r="A2985" s="2" t="str">
        <f t="shared" si="457"/>
        <v>VERNON</v>
      </c>
      <c r="B2985" s="2" t="str">
        <f t="shared" si="458"/>
        <v>VERNON COUNTY</v>
      </c>
      <c r="C2985" s="2" t="s">
        <v>1430</v>
      </c>
      <c r="D2985" s="2" t="str">
        <f>CLEAN("5377-00-00")</f>
        <v>5377-00-00</v>
      </c>
      <c r="E2985" s="3" t="str">
        <f>CLEAN("T CLINTON  BLOOMINGDALE ROAD")</f>
        <v>T CLINTON  BLOOMINGDALE ROAD</v>
      </c>
      <c r="F2985" s="3" t="str">
        <f>CLEAN("BR W FORK KICKAPOO RV BR P-62-0167")</f>
        <v>BR W FORK KICKAPOO RV BR P-62-0167</v>
      </c>
      <c r="G2985" s="3" t="str">
        <f>CLEAN("DESIGN - FULL PS&amp;E BRRPL")</f>
        <v>DESIGN - FULL PS&amp;E BRRPL</v>
      </c>
      <c r="H2985" s="2" t="str">
        <f t="shared" si="459"/>
        <v>LOC STR</v>
      </c>
      <c r="I2985" s="2" t="str">
        <f t="shared" si="460"/>
        <v>205</v>
      </c>
    </row>
    <row r="2986" spans="1:9" x14ac:dyDescent="0.35">
      <c r="A2986" s="2" t="str">
        <f t="shared" si="457"/>
        <v>VERNON</v>
      </c>
      <c r="B2986" s="2" t="str">
        <f t="shared" si="458"/>
        <v>VERNON COUNTY</v>
      </c>
      <c r="C2986" s="2" t="s">
        <v>75</v>
      </c>
      <c r="D2986" s="2" t="str">
        <f>CLEAN("5377-00-70")</f>
        <v>5377-00-70</v>
      </c>
      <c r="E2986" s="3" t="str">
        <f>CLEAN("T CLINTON  BLOOMINGDALE ROAD")</f>
        <v>T CLINTON  BLOOMINGDALE ROAD</v>
      </c>
      <c r="F2986" s="3" t="str">
        <f>CLEAN("BR W FORK KICKAPOO RV BR B-62-0276")</f>
        <v>BR W FORK KICKAPOO RV BR B-62-0276</v>
      </c>
      <c r="G2986" s="3" t="str">
        <f>CLEAN("CONST OPS/BRIDGE REPLACEMENT")</f>
        <v>CONST OPS/BRIDGE REPLACEMENT</v>
      </c>
      <c r="H2986" s="2" t="str">
        <f t="shared" si="459"/>
        <v>LOC STR</v>
      </c>
      <c r="I2986" s="2" t="str">
        <f t="shared" si="460"/>
        <v>205</v>
      </c>
    </row>
    <row r="2987" spans="1:9" x14ac:dyDescent="0.35">
      <c r="A2987" s="2" t="str">
        <f t="shared" si="457"/>
        <v>VERNON</v>
      </c>
      <c r="B2987" s="2" t="str">
        <f t="shared" si="458"/>
        <v>VERNON COUNTY</v>
      </c>
      <c r="C2987" s="2" t="s">
        <v>1756</v>
      </c>
      <c r="D2987" s="2" t="str">
        <f>CLEAN("5378-00-02")</f>
        <v>5378-00-02</v>
      </c>
      <c r="E2987" s="3" t="str">
        <f>CLEAN("TOWN OF COON  OLD LINE ROAD")</f>
        <v>TOWN OF COON  OLD LINE ROAD</v>
      </c>
      <c r="F2987" s="3" t="str">
        <f>CLEAN("BR N FORK BAD AXE RV BR  P-62-0181")</f>
        <v>BR N FORK BAD AXE RV BR  P-62-0181</v>
      </c>
      <c r="G2987" s="3" t="str">
        <f>CLEAN("DESIGN/BRIDGE REPLACEMENT")</f>
        <v>DESIGN/BRIDGE REPLACEMENT</v>
      </c>
      <c r="H2987" s="2" t="str">
        <f t="shared" si="459"/>
        <v>LOC STR</v>
      </c>
      <c r="I2987" s="2" t="str">
        <f t="shared" si="460"/>
        <v>205</v>
      </c>
    </row>
    <row r="2988" spans="1:9" x14ac:dyDescent="0.35">
      <c r="A2988" s="2" t="str">
        <f t="shared" si="457"/>
        <v>VERNON</v>
      </c>
      <c r="B2988" s="2" t="str">
        <f t="shared" si="458"/>
        <v>VERNON COUNTY</v>
      </c>
      <c r="C2988" s="2" t="s">
        <v>1770</v>
      </c>
      <c r="D2988" s="2" t="str">
        <f>CLEAN("5378-00-03")</f>
        <v>5378-00-03</v>
      </c>
      <c r="E2988" s="3" t="str">
        <f>CLEAN("TOWN OF COON  DODSON HOLLOW ROAD")</f>
        <v>TOWN OF COON  DODSON HOLLOW ROAD</v>
      </c>
      <c r="F2988" s="3" t="str">
        <f>CLEAN("DODSON HOLLOW CREEK BR P-62-0180")</f>
        <v>DODSON HOLLOW CREEK BR P-62-0180</v>
      </c>
      <c r="G2988" s="3" t="str">
        <f>CLEAN("DESIGN/BRIDGE REPLACEMENT")</f>
        <v>DESIGN/BRIDGE REPLACEMENT</v>
      </c>
      <c r="H2988" s="2" t="str">
        <f t="shared" si="459"/>
        <v>LOC STR</v>
      </c>
      <c r="I2988" s="2" t="str">
        <f t="shared" si="460"/>
        <v>205</v>
      </c>
    </row>
    <row r="2989" spans="1:9" x14ac:dyDescent="0.35">
      <c r="A2989" s="2" t="str">
        <f t="shared" si="457"/>
        <v>VERNON</v>
      </c>
      <c r="B2989" s="2" t="str">
        <f t="shared" si="458"/>
        <v>VERNON COUNTY</v>
      </c>
      <c r="C2989" s="2" t="s">
        <v>1753</v>
      </c>
      <c r="D2989" s="2" t="str">
        <f>CLEAN("5378-00-04")</f>
        <v>5378-00-04</v>
      </c>
      <c r="E2989" s="3" t="str">
        <f>CLEAN("TOWN OF COON  CORNELL LANE")</f>
        <v>TOWN OF COON  CORNELL LANE</v>
      </c>
      <c r="F2989" s="3" t="str">
        <f>CLEAN("BR COON CREEK BRIDGE P-62-0986")</f>
        <v>BR COON CREEK BRIDGE P-62-0986</v>
      </c>
      <c r="G2989" s="3" t="str">
        <f>CLEAN("DESIGN/BRIDGE REPLACEMENT")</f>
        <v>DESIGN/BRIDGE REPLACEMENT</v>
      </c>
      <c r="H2989" s="2" t="str">
        <f t="shared" si="459"/>
        <v>LOC STR</v>
      </c>
      <c r="I2989" s="2" t="str">
        <f t="shared" si="460"/>
        <v>205</v>
      </c>
    </row>
    <row r="2990" spans="1:9" x14ac:dyDescent="0.35">
      <c r="A2990" s="2" t="str">
        <f t="shared" si="457"/>
        <v>VERNON</v>
      </c>
      <c r="B2990" s="2" t="str">
        <f t="shared" si="458"/>
        <v>VERNON COUNTY</v>
      </c>
      <c r="C2990" s="2" t="s">
        <v>407</v>
      </c>
      <c r="D2990" s="2" t="str">
        <f>CLEAN("5378-00-72")</f>
        <v>5378-00-72</v>
      </c>
      <c r="E2990" s="3" t="str">
        <f>CLEAN("TOWN OF COON  OLD LINE ROAD")</f>
        <v>TOWN OF COON  OLD LINE ROAD</v>
      </c>
      <c r="F2990" s="3" t="str">
        <f>CLEAN("BR N FORK BAD AXE RV BR  B-62-0248")</f>
        <v>BR N FORK BAD AXE RV BR  B-62-0248</v>
      </c>
      <c r="G2990" s="3" t="str">
        <f>CLEAN("CONST/BRIDGE REPLACEMENT")</f>
        <v>CONST/BRIDGE REPLACEMENT</v>
      </c>
      <c r="H2990" s="2" t="str">
        <f t="shared" si="459"/>
        <v>LOC STR</v>
      </c>
      <c r="I2990" s="2" t="str">
        <f t="shared" si="460"/>
        <v>205</v>
      </c>
    </row>
    <row r="2991" spans="1:9" x14ac:dyDescent="0.35">
      <c r="A2991" s="2" t="str">
        <f t="shared" si="457"/>
        <v>VERNON</v>
      </c>
      <c r="B2991" s="2" t="str">
        <f t="shared" si="458"/>
        <v>VERNON COUNTY</v>
      </c>
      <c r="C2991" s="2" t="s">
        <v>87</v>
      </c>
      <c r="D2991" s="2" t="str">
        <f>CLEAN("5378-00-73")</f>
        <v>5378-00-73</v>
      </c>
      <c r="E2991" s="3" t="str">
        <f>CLEAN("TOWN OF COON  DODSON HOLLOW ROAD")</f>
        <v>TOWN OF COON  DODSON HOLLOW ROAD</v>
      </c>
      <c r="F2991" s="3" t="str">
        <f>CLEAN("DODSON HOLLOW CREEK BR B-62-0270")</f>
        <v>DODSON HOLLOW CREEK BR B-62-0270</v>
      </c>
      <c r="G2991" s="3" t="str">
        <f>CLEAN("CONST OPS/BRIDGE REPLACEMENT")</f>
        <v>CONST OPS/BRIDGE REPLACEMENT</v>
      </c>
      <c r="H2991" s="2" t="str">
        <f t="shared" si="459"/>
        <v>LOC STR</v>
      </c>
      <c r="I2991" s="2" t="str">
        <f t="shared" si="460"/>
        <v>205</v>
      </c>
    </row>
    <row r="2992" spans="1:9" x14ac:dyDescent="0.35">
      <c r="A2992" s="2" t="str">
        <f t="shared" si="457"/>
        <v>VERNON</v>
      </c>
      <c r="B2992" s="2" t="str">
        <f t="shared" si="458"/>
        <v>VERNON COUNTY</v>
      </c>
      <c r="C2992" s="2" t="s">
        <v>68</v>
      </c>
      <c r="D2992" s="2" t="str">
        <f>CLEAN("5378-00-74")</f>
        <v>5378-00-74</v>
      </c>
      <c r="E2992" s="3" t="str">
        <f>CLEAN("TOWN OF COON  CORNELL LANE")</f>
        <v>TOWN OF COON  CORNELL LANE</v>
      </c>
      <c r="F2992" s="3" t="str">
        <f>CLEAN("BR COON CREEK BRIDGE B-62-0274")</f>
        <v>BR COON CREEK BRIDGE B-62-0274</v>
      </c>
      <c r="G2992" s="3" t="str">
        <f>CLEAN("CONST OPS/BRIDGE REPLACEMENT")</f>
        <v>CONST OPS/BRIDGE REPLACEMENT</v>
      </c>
      <c r="H2992" s="2" t="str">
        <f t="shared" si="459"/>
        <v>LOC STR</v>
      </c>
      <c r="I2992" s="2" t="str">
        <f t="shared" si="460"/>
        <v>205</v>
      </c>
    </row>
    <row r="2993" spans="1:9" x14ac:dyDescent="0.35">
      <c r="A2993" s="2" t="str">
        <f t="shared" si="457"/>
        <v>VERNON</v>
      </c>
      <c r="B2993" s="2" t="str">
        <f t="shared" si="458"/>
        <v>VERNON COUNTY</v>
      </c>
      <c r="C2993" s="2" t="s">
        <v>1761</v>
      </c>
      <c r="D2993" s="2" t="str">
        <f>CLEAN("5385-00-00")</f>
        <v>5385-00-00</v>
      </c>
      <c r="E2993" s="3" t="str">
        <f>CLEAN("TOWN OF FRANKLIN  TAINTER HOLLOW RD")</f>
        <v>TOWN OF FRANKLIN  TAINTER HOLLOW RD</v>
      </c>
      <c r="F2993" s="3" t="str">
        <f>CLEAN("BR TAINTER CREEK BRIDGE  P-62-0911")</f>
        <v>BR TAINTER CREEK BRIDGE  P-62-0911</v>
      </c>
      <c r="G2993" s="3" t="str">
        <f>CLEAN("DESIGN/BRIDGE REPLACEMENT")</f>
        <v>DESIGN/BRIDGE REPLACEMENT</v>
      </c>
      <c r="H2993" s="2" t="str">
        <f t="shared" si="459"/>
        <v>LOC STR</v>
      </c>
      <c r="I2993" s="2" t="str">
        <f t="shared" si="460"/>
        <v>205</v>
      </c>
    </row>
    <row r="2994" spans="1:9" x14ac:dyDescent="0.35">
      <c r="A2994" s="2" t="str">
        <f t="shared" si="457"/>
        <v>VERNON</v>
      </c>
      <c r="B2994" s="2" t="str">
        <f t="shared" si="458"/>
        <v>VERNON COUNTY</v>
      </c>
      <c r="C2994" s="2" t="s">
        <v>1783</v>
      </c>
      <c r="D2994" s="2" t="str">
        <f>CLEAN("5385-00-01")</f>
        <v>5385-00-01</v>
      </c>
      <c r="E2994" s="3" t="str">
        <f>CLEAN("TOWN OF FRANKLIN  ELLEFSON ROAD")</f>
        <v>TOWN OF FRANKLIN  ELLEFSON ROAD</v>
      </c>
      <c r="F2994" s="3" t="str">
        <f>CLEAN("HORNBY CREEK BRIDGE  P-62-0912")</f>
        <v>HORNBY CREEK BRIDGE  P-62-0912</v>
      </c>
      <c r="G2994" s="3" t="str">
        <f>CLEAN("DESIGN/BRIDGE REPLACEMENT")</f>
        <v>DESIGN/BRIDGE REPLACEMENT</v>
      </c>
      <c r="H2994" s="2" t="str">
        <f t="shared" si="459"/>
        <v>LOC STR</v>
      </c>
      <c r="I2994" s="2" t="str">
        <f t="shared" si="460"/>
        <v>205</v>
      </c>
    </row>
    <row r="2995" spans="1:9" x14ac:dyDescent="0.35">
      <c r="A2995" s="2" t="str">
        <f t="shared" si="457"/>
        <v>VERNON</v>
      </c>
      <c r="B2995" s="2" t="str">
        <f t="shared" si="458"/>
        <v>VERNON COUNTY</v>
      </c>
      <c r="C2995" s="2" t="s">
        <v>462</v>
      </c>
      <c r="D2995" s="2" t="str">
        <f>CLEAN("5385-00-71")</f>
        <v>5385-00-71</v>
      </c>
      <c r="E2995" s="3" t="str">
        <f>CLEAN("TOWN OF FRANKLIN  ELLEFSON ROAD")</f>
        <v>TOWN OF FRANKLIN  ELLEFSON ROAD</v>
      </c>
      <c r="F2995" s="3" t="str">
        <f>CLEAN("S FORK BAD AXE RV BR  B-62-0267")</f>
        <v>S FORK BAD AXE RV BR  B-62-0267</v>
      </c>
      <c r="G2995" s="3" t="str">
        <f>CLEAN("CONST/BRIDGE REPLACEMENT")</f>
        <v>CONST/BRIDGE REPLACEMENT</v>
      </c>
      <c r="H2995" s="2" t="str">
        <f t="shared" si="459"/>
        <v>LOC STR</v>
      </c>
      <c r="I2995" s="2" t="str">
        <f t="shared" si="460"/>
        <v>205</v>
      </c>
    </row>
    <row r="2996" spans="1:9" x14ac:dyDescent="0.35">
      <c r="A2996" s="2" t="str">
        <f t="shared" si="457"/>
        <v>VERNON</v>
      </c>
      <c r="B2996" s="2" t="str">
        <f t="shared" si="458"/>
        <v>VERNON COUNTY</v>
      </c>
      <c r="C2996" s="2" t="s">
        <v>1471</v>
      </c>
      <c r="D2996" s="2" t="str">
        <f>CLEAN("5389-00-00")</f>
        <v>5389-00-00</v>
      </c>
      <c r="E2996" s="3" t="str">
        <f>CLEAN("T HARMONY  UPPER NEWTON RD")</f>
        <v>T HARMONY  UPPER NEWTON RD</v>
      </c>
      <c r="F2996" s="3" t="str">
        <f>CLEAN("N FK BAD AXE RIVER BRIDGE P-62-0220")</f>
        <v>N FK BAD AXE RIVER BRIDGE P-62-0220</v>
      </c>
      <c r="G2996" s="3" t="str">
        <f>CLEAN("DESIGN - FULL PS&amp;E BRRPL")</f>
        <v>DESIGN - FULL PS&amp;E BRRPL</v>
      </c>
      <c r="H2996" s="2" t="str">
        <f t="shared" si="459"/>
        <v>LOC STR</v>
      </c>
      <c r="I2996" s="2" t="str">
        <f t="shared" si="460"/>
        <v>205</v>
      </c>
    </row>
    <row r="2997" spans="1:9" x14ac:dyDescent="0.35">
      <c r="A2997" s="2" t="str">
        <f t="shared" si="457"/>
        <v>VERNON</v>
      </c>
      <c r="B2997" s="2" t="str">
        <f t="shared" si="458"/>
        <v>VERNON COUNTY</v>
      </c>
      <c r="C2997" s="2" t="s">
        <v>1436</v>
      </c>
      <c r="D2997" s="2" t="str">
        <f>CLEAN("5396-00-00")</f>
        <v>5396-00-00</v>
      </c>
      <c r="E2997" s="3" t="str">
        <f>CLEAN("TERMINI - STH 56 (CTH XX)")</f>
        <v>TERMINI - STH 56 (CTH XX)</v>
      </c>
      <c r="F2997" s="3" t="str">
        <f>CLEAN("COE HOLLOW CREEK BRIDGE B-62-0809")</f>
        <v>COE HOLLOW CREEK BRIDGE B-62-0809</v>
      </c>
      <c r="G2997" s="3" t="str">
        <f>CLEAN("DESIGN - FULL PS&amp;E BRRPL")</f>
        <v>DESIGN - FULL PS&amp;E BRRPL</v>
      </c>
      <c r="H2997" s="2" t="str">
        <f>CLEAN("CTH XX")</f>
        <v>CTH XX</v>
      </c>
      <c r="I2997" s="2" t="str">
        <f t="shared" si="460"/>
        <v>205</v>
      </c>
    </row>
    <row r="2998" spans="1:9" x14ac:dyDescent="0.35">
      <c r="A2998" s="2" t="str">
        <f t="shared" si="457"/>
        <v>VERNON</v>
      </c>
      <c r="B2998" s="2" t="str">
        <f t="shared" si="458"/>
        <v>VERNON COUNTY</v>
      </c>
      <c r="C2998" s="2" t="s">
        <v>1754</v>
      </c>
      <c r="D2998" s="2" t="str">
        <f>CLEAN("5398-00-00")</f>
        <v>5398-00-00</v>
      </c>
      <c r="E2998" s="3" t="str">
        <f>CLEAN("TOWN OF WEBSTER  DUCK CREEK ROAD")</f>
        <v>TOWN OF WEBSTER  DUCK CREEK ROAD</v>
      </c>
      <c r="F2998" s="3" t="str">
        <f>CLEAN("BR KICKAPOO RV BRIDGE P-62-0254")</f>
        <v>BR KICKAPOO RV BRIDGE P-62-0254</v>
      </c>
      <c r="G2998" s="3" t="str">
        <f>CLEAN("DESIGN/BRIDGE REPLACEMENT")</f>
        <v>DESIGN/BRIDGE REPLACEMENT</v>
      </c>
      <c r="H2998" s="2" t="str">
        <f t="shared" ref="H2998:H3004" si="461">CLEAN("LOC STR")</f>
        <v>LOC STR</v>
      </c>
      <c r="I2998" s="2" t="str">
        <f t="shared" si="460"/>
        <v>205</v>
      </c>
    </row>
    <row r="2999" spans="1:9" x14ac:dyDescent="0.35">
      <c r="A2999" s="2" t="str">
        <f t="shared" si="457"/>
        <v>VERNON</v>
      </c>
      <c r="B2999" s="2" t="str">
        <f t="shared" si="458"/>
        <v>VERNON COUNTY</v>
      </c>
      <c r="C2999" s="2" t="s">
        <v>1809</v>
      </c>
      <c r="D2999" s="2" t="str">
        <f>CLEAN("5405-00-00")</f>
        <v>5405-00-00</v>
      </c>
      <c r="E2999" s="3" t="str">
        <f>CLEAN("TOWN OF STERLING  PRAIRIE ROAD")</f>
        <v>TOWN OF STERLING  PRAIRIE ROAD</v>
      </c>
      <c r="F2999" s="3" t="str">
        <f>CLEAN("RUSH CREEK BRIDGE P-62-0329")</f>
        <v>RUSH CREEK BRIDGE P-62-0329</v>
      </c>
      <c r="G2999" s="3" t="str">
        <f>CLEAN("DESIGN/BRIDGE REPLACEMENT")</f>
        <v>DESIGN/BRIDGE REPLACEMENT</v>
      </c>
      <c r="H2999" s="2" t="str">
        <f t="shared" si="461"/>
        <v>LOC STR</v>
      </c>
      <c r="I2999" s="2" t="str">
        <f t="shared" si="460"/>
        <v>205</v>
      </c>
    </row>
    <row r="3000" spans="1:9" x14ac:dyDescent="0.35">
      <c r="A3000" s="2" t="str">
        <f t="shared" si="457"/>
        <v>VERNON</v>
      </c>
      <c r="B3000" s="2" t="str">
        <f t="shared" si="458"/>
        <v>VERNON COUNTY</v>
      </c>
      <c r="C3000" s="2" t="s">
        <v>127</v>
      </c>
      <c r="D3000" s="2" t="str">
        <f>CLEAN("5405-00-70")</f>
        <v>5405-00-70</v>
      </c>
      <c r="E3000" s="3" t="str">
        <f>CLEAN("TOWN OF STERLING  PRAIRIE ROAD")</f>
        <v>TOWN OF STERLING  PRAIRIE ROAD</v>
      </c>
      <c r="F3000" s="3" t="str">
        <f>CLEAN("RUSH CREEK BRIDGE B-62-0272")</f>
        <v>RUSH CREEK BRIDGE B-62-0272</v>
      </c>
      <c r="G3000" s="3" t="str">
        <f>CLEAN("CONST OPS/BRIDGE REPLACEMENT")</f>
        <v>CONST OPS/BRIDGE REPLACEMENT</v>
      </c>
      <c r="H3000" s="2" t="str">
        <f t="shared" si="461"/>
        <v>LOC STR</v>
      </c>
      <c r="I3000" s="2" t="str">
        <f t="shared" si="460"/>
        <v>205</v>
      </c>
    </row>
    <row r="3001" spans="1:9" x14ac:dyDescent="0.35">
      <c r="A3001" s="2" t="str">
        <f t="shared" si="457"/>
        <v>VERNON</v>
      </c>
      <c r="B3001" s="2" t="str">
        <f t="shared" si="458"/>
        <v>VERNON COUNTY</v>
      </c>
      <c r="C3001" s="2" t="s">
        <v>1455</v>
      </c>
      <c r="D3001" s="2" t="str">
        <f>CLEAN("5405-06-00")</f>
        <v>5405-06-00</v>
      </c>
      <c r="E3001" s="3" t="str">
        <f>CLEAN("T STERLING  WEBER RD")</f>
        <v>T STERLING  WEBER RD</v>
      </c>
      <c r="F3001" s="3" t="str">
        <f>CLEAN("HORNBY HOLLOW BRIDGE P-62-0302")</f>
        <v>HORNBY HOLLOW BRIDGE P-62-0302</v>
      </c>
      <c r="G3001" s="3" t="str">
        <f>CLEAN("DESIGN - FULL PS&amp;E BRRPL")</f>
        <v>DESIGN - FULL PS&amp;E BRRPL</v>
      </c>
      <c r="H3001" s="2" t="str">
        <f t="shared" si="461"/>
        <v>LOC STR</v>
      </c>
      <c r="I3001" s="2" t="str">
        <f t="shared" si="460"/>
        <v>205</v>
      </c>
    </row>
    <row r="3002" spans="1:9" x14ac:dyDescent="0.35">
      <c r="A3002" s="2" t="str">
        <f t="shared" si="457"/>
        <v>VERNON</v>
      </c>
      <c r="B3002" s="2" t="str">
        <f t="shared" si="458"/>
        <v>VERNON COUNTY</v>
      </c>
      <c r="C3002" s="2" t="s">
        <v>1456</v>
      </c>
      <c r="D3002" s="2" t="str">
        <f>CLEAN("5405-07-00")</f>
        <v>5405-07-00</v>
      </c>
      <c r="E3002" s="3" t="str">
        <f>CLEAN("T STERLING  HORNBY RD")</f>
        <v>T STERLING  HORNBY RD</v>
      </c>
      <c r="F3002" s="3" t="str">
        <f>CLEAN("HORNBY HOLLOW CREEK BRDGE P-62-0928")</f>
        <v>HORNBY HOLLOW CREEK BRDGE P-62-0928</v>
      </c>
      <c r="G3002" s="3" t="str">
        <f>CLEAN("DESIGN - FULL PS&amp;E BRRPL")</f>
        <v>DESIGN - FULL PS&amp;E BRRPL</v>
      </c>
      <c r="H3002" s="2" t="str">
        <f t="shared" si="461"/>
        <v>LOC STR</v>
      </c>
      <c r="I3002" s="2" t="str">
        <f t="shared" si="460"/>
        <v>205</v>
      </c>
    </row>
    <row r="3003" spans="1:9" x14ac:dyDescent="0.35">
      <c r="A3003" s="2" t="str">
        <f t="shared" si="457"/>
        <v>VERNON</v>
      </c>
      <c r="B3003" s="2" t="str">
        <f t="shared" si="458"/>
        <v>VERNON COUNTY</v>
      </c>
      <c r="C3003" s="2" t="s">
        <v>1478</v>
      </c>
      <c r="D3003" s="2" t="str">
        <f>CLEAN("5405-08-00")</f>
        <v>5405-08-00</v>
      </c>
      <c r="E3003" s="3" t="str">
        <f>CLEAN("T STERLING  SAG CITY RD")</f>
        <v>T STERLING  SAG CITY RD</v>
      </c>
      <c r="F3003" s="3" t="str">
        <f>CLEAN("RUSH CREEK BRIDGE P-62-0956")</f>
        <v>RUSH CREEK BRIDGE P-62-0956</v>
      </c>
      <c r="G3003" s="3" t="str">
        <f>CLEAN("DESIGN - FULL PS&amp;E BRRPL")</f>
        <v>DESIGN - FULL PS&amp;E BRRPL</v>
      </c>
      <c r="H3003" s="2" t="str">
        <f t="shared" si="461"/>
        <v>LOC STR</v>
      </c>
      <c r="I3003" s="2" t="str">
        <f t="shared" si="460"/>
        <v>205</v>
      </c>
    </row>
    <row r="3004" spans="1:9" x14ac:dyDescent="0.35">
      <c r="A3004" s="2" t="str">
        <f t="shared" si="457"/>
        <v>VERNON</v>
      </c>
      <c r="B3004" s="2" t="str">
        <f t="shared" si="458"/>
        <v>VERNON COUNTY</v>
      </c>
      <c r="C3004" s="2" t="s">
        <v>1433</v>
      </c>
      <c r="D3004" s="2" t="str">
        <f>CLEAN("5406-00-00")</f>
        <v>5406-00-00</v>
      </c>
      <c r="E3004" s="3" t="str">
        <f>CLEAN("T UNION  SUNRISE LANE")</f>
        <v>T UNION  SUNRISE LANE</v>
      </c>
      <c r="F3004" s="3" t="str">
        <f>CLEAN("CHAMPION VALLEY CRK BRGE P-62-0268")</f>
        <v>CHAMPION VALLEY CRK BRGE P-62-0268</v>
      </c>
      <c r="G3004" s="3" t="str">
        <f>CLEAN("DESIGN - FULL PS&amp;E BRRPL")</f>
        <v>DESIGN - FULL PS&amp;E BRRPL</v>
      </c>
      <c r="H3004" s="2" t="str">
        <f t="shared" si="461"/>
        <v>LOC STR</v>
      </c>
      <c r="I3004" s="2" t="str">
        <f t="shared" si="460"/>
        <v>205</v>
      </c>
    </row>
    <row r="3005" spans="1:9" x14ac:dyDescent="0.35">
      <c r="A3005" s="2" t="str">
        <f t="shared" si="457"/>
        <v>VERNON</v>
      </c>
      <c r="B3005" s="2" t="str">
        <f t="shared" si="458"/>
        <v>VERNON COUNTY</v>
      </c>
      <c r="C3005" s="2" t="s">
        <v>1810</v>
      </c>
      <c r="D3005" s="2" t="str">
        <f>CLEAN("5476-00-00")</f>
        <v>5476-00-00</v>
      </c>
      <c r="E3005" s="3" t="str">
        <f>CLEAN("STH 162 - STH 35")</f>
        <v>STH 162 - STH 35</v>
      </c>
      <c r="F3005" s="3" t="str">
        <f>CLEAN("S CHIPMUNK COULEE CR BR B-62-0064")</f>
        <v>S CHIPMUNK COULEE CR BR B-62-0064</v>
      </c>
      <c r="G3005" s="3" t="str">
        <f>CLEAN("DESIGN/BRIDGE REPLACEMENT")</f>
        <v>DESIGN/BRIDGE REPLACEMENT</v>
      </c>
      <c r="H3005" s="2" t="str">
        <f>CLEAN("CTH K")</f>
        <v>CTH K</v>
      </c>
      <c r="I3005" s="2" t="str">
        <f t="shared" si="460"/>
        <v>205</v>
      </c>
    </row>
    <row r="3006" spans="1:9" x14ac:dyDescent="0.35">
      <c r="A3006" s="2" t="str">
        <f t="shared" si="457"/>
        <v>VERNON</v>
      </c>
      <c r="B3006" s="2" t="str">
        <f t="shared" si="458"/>
        <v>VERNON COUNTY</v>
      </c>
      <c r="C3006" s="2" t="s">
        <v>1817</v>
      </c>
      <c r="D3006" s="2" t="str">
        <f>CLEAN("5478-00-00")</f>
        <v>5478-00-00</v>
      </c>
      <c r="E3006" s="3" t="str">
        <f>CLEAN("CTH X - STH 27")</f>
        <v>CTH X - STH 27</v>
      </c>
      <c r="F3006" s="3" t="str">
        <f>CLEAN("TIMBER COULEE CREEK BR  B-62-0994")</f>
        <v>TIMBER COULEE CREEK BR  B-62-0994</v>
      </c>
      <c r="G3006" s="3" t="str">
        <f>CLEAN("DESIGN/BRIDGE REPLACEMENT")</f>
        <v>DESIGN/BRIDGE REPLACEMENT</v>
      </c>
      <c r="H3006" s="2" t="str">
        <f>CLEAN("CTH P")</f>
        <v>CTH P</v>
      </c>
      <c r="I3006" s="2" t="str">
        <f t="shared" si="460"/>
        <v>205</v>
      </c>
    </row>
    <row r="3007" spans="1:9" x14ac:dyDescent="0.35">
      <c r="A3007" s="2" t="str">
        <f t="shared" si="457"/>
        <v>VERNON</v>
      </c>
      <c r="B3007" s="2" t="str">
        <f t="shared" si="458"/>
        <v>VERNON COUNTY</v>
      </c>
      <c r="C3007" s="2" t="s">
        <v>1825</v>
      </c>
      <c r="D3007" s="2" t="str">
        <f>CLEAN("5478-00-07")</f>
        <v>5478-00-07</v>
      </c>
      <c r="E3007" s="3" t="str">
        <f>CLEAN("STH 131 - CTH V")</f>
        <v>STH 131 - CTH V</v>
      </c>
      <c r="F3007" s="3" t="str">
        <f>CLEAN("WARNER CREEK BRIDGE  P-62-0954")</f>
        <v>WARNER CREEK BRIDGE  P-62-0954</v>
      </c>
      <c r="G3007" s="3" t="str">
        <f>CLEAN("DESIGN/BRIDGE REPLACEMENT")</f>
        <v>DESIGN/BRIDGE REPLACEMENT</v>
      </c>
      <c r="H3007" s="2" t="str">
        <f>CLEAN("CTH P")</f>
        <v>CTH P</v>
      </c>
      <c r="I3007" s="2" t="str">
        <f t="shared" si="460"/>
        <v>205</v>
      </c>
    </row>
    <row r="3008" spans="1:9" x14ac:dyDescent="0.35">
      <c r="A3008" s="2" t="str">
        <f t="shared" si="457"/>
        <v>VERNON</v>
      </c>
      <c r="B3008" s="2" t="str">
        <f t="shared" si="458"/>
        <v>VERNON COUNTY</v>
      </c>
      <c r="C3008" s="2" t="s">
        <v>133</v>
      </c>
      <c r="D3008" s="2" t="str">
        <f>CLEAN("5478-00-72")</f>
        <v>5478-00-72</v>
      </c>
      <c r="E3008" s="3" t="str">
        <f>CLEAN("CTH X - STH 27")</f>
        <v>CTH X - STH 27</v>
      </c>
      <c r="F3008" s="3" t="str">
        <f>CLEAN("TIMBER COULEE CREEK BR  B-62-0260")</f>
        <v>TIMBER COULEE CREEK BR  B-62-0260</v>
      </c>
      <c r="G3008" s="3" t="str">
        <f>CLEAN("CONST OPS/BRIDGE REPLACEMENT")</f>
        <v>CONST OPS/BRIDGE REPLACEMENT</v>
      </c>
      <c r="H3008" s="2" t="str">
        <f>CLEAN("CTH P")</f>
        <v>CTH P</v>
      </c>
      <c r="I3008" s="2" t="str">
        <f t="shared" si="460"/>
        <v>205</v>
      </c>
    </row>
    <row r="3009" spans="1:9" x14ac:dyDescent="0.35">
      <c r="A3009" s="2" t="str">
        <f t="shared" si="457"/>
        <v>VERNON</v>
      </c>
      <c r="B3009" s="2" t="str">
        <f t="shared" si="458"/>
        <v>VERNON COUNTY</v>
      </c>
      <c r="C3009" s="2" t="s">
        <v>472</v>
      </c>
      <c r="D3009" s="2" t="str">
        <f>CLEAN("5478-00-77")</f>
        <v>5478-00-77</v>
      </c>
      <c r="E3009" s="3" t="str">
        <f>CLEAN("STH 131 - CTH V")</f>
        <v>STH 131 - CTH V</v>
      </c>
      <c r="F3009" s="3" t="str">
        <f>CLEAN("WARNER CREEK BRIDGE  B-62-0268")</f>
        <v>WARNER CREEK BRIDGE  B-62-0268</v>
      </c>
      <c r="G3009" s="3" t="str">
        <f>CLEAN("CONST/BRIDGE REPLACEMENT")</f>
        <v>CONST/BRIDGE REPLACEMENT</v>
      </c>
      <c r="H3009" s="2" t="str">
        <f>CLEAN("CTH P")</f>
        <v>CTH P</v>
      </c>
      <c r="I3009" s="2" t="str">
        <f t="shared" si="460"/>
        <v>205</v>
      </c>
    </row>
    <row r="3010" spans="1:9" x14ac:dyDescent="0.35">
      <c r="A3010" s="2" t="str">
        <f t="shared" si="457"/>
        <v>VERNON</v>
      </c>
      <c r="B3010" s="2" t="str">
        <f t="shared" si="458"/>
        <v>VERNON COUNTY</v>
      </c>
      <c r="C3010" s="2" t="s">
        <v>1760</v>
      </c>
      <c r="D3010" s="2" t="str">
        <f>CLEAN("5479-00-00")</f>
        <v>5479-00-00</v>
      </c>
      <c r="E3010" s="3" t="str">
        <f>CLEAN("CTH EE - STH 80")</f>
        <v>CTH EE - STH 80</v>
      </c>
      <c r="F3010" s="3" t="str">
        <f>CLEAN("BR S BRANCH CREEK BRIDGE  B62-0259")</f>
        <v>BR S BRANCH CREEK BRIDGE  B62-0259</v>
      </c>
      <c r="G3010" s="3" t="str">
        <f>CLEAN("DESIGN/BRIDGE REPLACEMENT")</f>
        <v>DESIGN/BRIDGE REPLACEMENT</v>
      </c>
      <c r="H3010" s="2" t="str">
        <f>CLEAN("CTH Q")</f>
        <v>CTH Q</v>
      </c>
      <c r="I3010" s="2" t="str">
        <f t="shared" si="460"/>
        <v>205</v>
      </c>
    </row>
    <row r="3011" spans="1:9" x14ac:dyDescent="0.35">
      <c r="A3011" s="2" t="str">
        <f t="shared" si="457"/>
        <v>VERNON</v>
      </c>
      <c r="B3011" s="2" t="str">
        <f t="shared" si="458"/>
        <v>VERNON COUNTY</v>
      </c>
      <c r="C3011" s="2" t="s">
        <v>2216</v>
      </c>
      <c r="D3011" s="2" t="str">
        <f>CLEAN("5537-00-00")</f>
        <v>5537-00-00</v>
      </c>
      <c r="E3011" s="3" t="str">
        <f>CLEAN("T BERGEN - STH 162")</f>
        <v>T BERGEN - STH 162</v>
      </c>
      <c r="F3011" s="3" t="str">
        <f>CLEAN("SKYLINE LANE TO SYLVAN GLEN ROAD")</f>
        <v>SKYLINE LANE TO SYLVAN GLEN ROAD</v>
      </c>
      <c r="G3011" s="3" t="str">
        <f>CLEAN("DESIGN/PLAN CHECK REVIEW/RECST")</f>
        <v>DESIGN/PLAN CHECK REVIEW/RECST</v>
      </c>
      <c r="H3011" s="2" t="str">
        <f>CLEAN("CTH O")</f>
        <v>CTH O</v>
      </c>
      <c r="I3011" s="2" t="str">
        <f>CLEAN("206")</f>
        <v>206</v>
      </c>
    </row>
    <row r="3012" spans="1:9" x14ac:dyDescent="0.35">
      <c r="A3012" s="2" t="str">
        <f t="shared" si="457"/>
        <v>VERNON</v>
      </c>
      <c r="B3012" s="2" t="str">
        <f t="shared" si="458"/>
        <v>VERNON COUNTY</v>
      </c>
      <c r="C3012" s="2" t="s">
        <v>262</v>
      </c>
      <c r="D3012" s="2" t="str">
        <f>CLEAN("5537-00-71")</f>
        <v>5537-00-71</v>
      </c>
      <c r="E3012" s="3" t="str">
        <f>CLEAN("TOWN OF BERGEN TO STH 162 (CTH O)")</f>
        <v>TOWN OF BERGEN TO STH 162 (CTH O)</v>
      </c>
      <c r="F3012" s="3" t="str">
        <f>CLEAN("SKYLINE LANE TO SYLVAN GLEN ROAD")</f>
        <v>SKYLINE LANE TO SYLVAN GLEN ROAD</v>
      </c>
      <c r="G3012" s="3" t="str">
        <f>CLEAN("CONST OPS/RECONSTRUCTION")</f>
        <v>CONST OPS/RECONSTRUCTION</v>
      </c>
      <c r="H3012" s="2" t="str">
        <f>CLEAN("CTH O")</f>
        <v>CTH O</v>
      </c>
      <c r="I3012" s="2" t="str">
        <f>CLEAN("206")</f>
        <v>206</v>
      </c>
    </row>
    <row r="3013" spans="1:9" x14ac:dyDescent="0.35">
      <c r="A3013" s="2" t="str">
        <f t="shared" ref="A3013:A3020" si="462">CLEAN("VILAS")</f>
        <v>VILAS</v>
      </c>
      <c r="B3013" s="2" t="str">
        <f t="shared" ref="B3013:B3020" si="463">CLEAN("VILAS COUNTY")</f>
        <v>VILAS COUNTY</v>
      </c>
      <c r="C3013" s="2" t="s">
        <v>1897</v>
      </c>
      <c r="D3013" s="2" t="str">
        <f>CLEAN("9493-00-00")</f>
        <v>9493-00-00</v>
      </c>
      <c r="E3013" s="3" t="str">
        <f>CLEAN("T PHELPS  CTH A")</f>
        <v>T PHELPS  CTH A</v>
      </c>
      <c r="F3013" s="3" t="str">
        <f>CLEAN("STH 17 TO SAINT LOUIS ROAD")</f>
        <v>STH 17 TO SAINT LOUIS ROAD</v>
      </c>
      <c r="G3013" s="3" t="str">
        <f>CLEAN("DESIGN/FULL PSE/FLAP PVRPLA")</f>
        <v>DESIGN/FULL PSE/FLAP PVRPLA</v>
      </c>
      <c r="H3013" s="2" t="str">
        <f>CLEAN("CTH A")</f>
        <v>CTH A</v>
      </c>
      <c r="I3013" s="2" t="str">
        <f>CLEAN("206")</f>
        <v>206</v>
      </c>
    </row>
    <row r="3014" spans="1:9" x14ac:dyDescent="0.35">
      <c r="A3014" s="2" t="str">
        <f t="shared" si="462"/>
        <v>VILAS</v>
      </c>
      <c r="B3014" s="2" t="str">
        <f t="shared" si="463"/>
        <v>VILAS COUNTY</v>
      </c>
      <c r="C3014" s="2" t="s">
        <v>550</v>
      </c>
      <c r="D3014" s="2" t="str">
        <f>CLEAN("9493-00-70")</f>
        <v>9493-00-70</v>
      </c>
      <c r="E3014" s="3" t="str">
        <f>CLEAN("T PHELPS  CTH A")</f>
        <v>T PHELPS  CTH A</v>
      </c>
      <c r="F3014" s="3" t="str">
        <f>CLEAN("STH 17 TO SAINT LOUIS ROAD")</f>
        <v>STH 17 TO SAINT LOUIS ROAD</v>
      </c>
      <c r="G3014" s="3" t="str">
        <f>CLEAN("CONST/FLAP PROG PVRPLA")</f>
        <v>CONST/FLAP PROG PVRPLA</v>
      </c>
      <c r="H3014" s="2" t="str">
        <f>CLEAN("CTH A")</f>
        <v>CTH A</v>
      </c>
      <c r="I3014" s="2" t="str">
        <f>CLEAN("206")</f>
        <v>206</v>
      </c>
    </row>
    <row r="3015" spans="1:9" x14ac:dyDescent="0.35">
      <c r="A3015" s="2" t="str">
        <f t="shared" si="462"/>
        <v>VILAS</v>
      </c>
      <c r="B3015" s="2" t="str">
        <f t="shared" si="463"/>
        <v>VILAS COUNTY</v>
      </c>
      <c r="C3015" s="2" t="s">
        <v>918</v>
      </c>
      <c r="D3015" s="2" t="str">
        <f>CLEAN("9509-00-70")</f>
        <v>9509-00-70</v>
      </c>
      <c r="E3015" s="3" t="str">
        <f>CLEAN("T PLUM LAKE  CTH N")</f>
        <v>T PLUM LAKE  CTH N</v>
      </c>
      <c r="F3015" s="3" t="str">
        <f>CLEAN("PLUM CREEK BRIDGE  B-63-0030")</f>
        <v>PLUM CREEK BRIDGE  B-63-0030</v>
      </c>
      <c r="G3015" s="3" t="str">
        <f>CLEAN("CONST/REPLACEMENT")</f>
        <v>CONST/REPLACEMENT</v>
      </c>
      <c r="H3015" s="2" t="str">
        <f>CLEAN("CTH N")</f>
        <v>CTH N</v>
      </c>
      <c r="I3015" s="2" t="str">
        <f>CLEAN("205")</f>
        <v>205</v>
      </c>
    </row>
    <row r="3016" spans="1:9" x14ac:dyDescent="0.35">
      <c r="A3016" s="2" t="str">
        <f t="shared" si="462"/>
        <v>VILAS</v>
      </c>
      <c r="B3016" s="2" t="str">
        <f t="shared" si="463"/>
        <v>VILAS COUNTY</v>
      </c>
      <c r="C3016" s="2" t="s">
        <v>1900</v>
      </c>
      <c r="D3016" s="2" t="str">
        <f>CLEAN("9509-02-00")</f>
        <v>9509-02-00</v>
      </c>
      <c r="E3016" s="3" t="str">
        <f>CLEAN("SAYNER - CTH K")</f>
        <v>SAYNER - CTH K</v>
      </c>
      <c r="F3016" s="3" t="str">
        <f>CLEAN("STH 155 TO CTH K")</f>
        <v>STH 155 TO CTH K</v>
      </c>
      <c r="G3016" s="3" t="str">
        <f>CLEAN("DESIGN/FULL PSE/HSIP")</f>
        <v>DESIGN/FULL PSE/HSIP</v>
      </c>
      <c r="H3016" s="2" t="str">
        <f>CLEAN("CTH N")</f>
        <v>CTH N</v>
      </c>
      <c r="I3016" s="2" t="str">
        <f>CLEAN("206")</f>
        <v>206</v>
      </c>
    </row>
    <row r="3017" spans="1:9" x14ac:dyDescent="0.35">
      <c r="A3017" s="2" t="str">
        <f t="shared" si="462"/>
        <v>VILAS</v>
      </c>
      <c r="B3017" s="2" t="str">
        <f t="shared" si="463"/>
        <v>VILAS COUNTY</v>
      </c>
      <c r="C3017" s="2" t="s">
        <v>567</v>
      </c>
      <c r="D3017" s="2" t="str">
        <f>CLEAN("9509-02-70")</f>
        <v>9509-02-70</v>
      </c>
      <c r="E3017" s="3" t="str">
        <f>CLEAN("SAYNER - CTH K")</f>
        <v>SAYNER - CTH K</v>
      </c>
      <c r="F3017" s="3" t="str">
        <f>CLEAN("STH 155 TO CTH K")</f>
        <v>STH 155 TO CTH K</v>
      </c>
      <c r="G3017" s="3" t="str">
        <f>CLEAN("CONST/HSIP")</f>
        <v>CONST/HSIP</v>
      </c>
      <c r="H3017" s="2" t="str">
        <f>CLEAN("CTH N")</f>
        <v>CTH N</v>
      </c>
      <c r="I3017" s="2" t="str">
        <f>CLEAN("206")</f>
        <v>206</v>
      </c>
    </row>
    <row r="3018" spans="1:9" x14ac:dyDescent="0.35">
      <c r="A3018" s="2" t="str">
        <f t="shared" si="462"/>
        <v>VILAS</v>
      </c>
      <c r="B3018" s="2" t="str">
        <f t="shared" si="463"/>
        <v>VILAS COUNTY</v>
      </c>
      <c r="C3018" s="2" t="s">
        <v>1934</v>
      </c>
      <c r="D3018" s="2" t="str">
        <f>CLEAN("9513-01-00")</f>
        <v>9513-01-00</v>
      </c>
      <c r="E3018" s="3" t="str">
        <f>CLEAN("CTH K - CTH B")</f>
        <v>CTH K - CTH B</v>
      </c>
      <c r="F3018" s="3" t="str">
        <f>CLEAN("E FLOWAGE ROAD TO RUMMELS ROAD")</f>
        <v>E FLOWAGE ROAD TO RUMMELS ROAD</v>
      </c>
      <c r="G3018" s="3" t="str">
        <f>CLEAN("DESIGN/FULL PSE/RECONSTRUCT")</f>
        <v>DESIGN/FULL PSE/RECONSTRUCT</v>
      </c>
      <c r="H3018" s="2" t="str">
        <f>CLEAN("CTH S")</f>
        <v>CTH S</v>
      </c>
      <c r="I3018" s="2" t="str">
        <f>CLEAN("206")</f>
        <v>206</v>
      </c>
    </row>
    <row r="3019" spans="1:9" x14ac:dyDescent="0.35">
      <c r="A3019" s="2" t="str">
        <f t="shared" si="462"/>
        <v>VILAS</v>
      </c>
      <c r="B3019" s="2" t="str">
        <f t="shared" si="463"/>
        <v>VILAS COUNTY</v>
      </c>
      <c r="C3019" s="2" t="s">
        <v>766</v>
      </c>
      <c r="D3019" s="2" t="str">
        <f>CLEAN("9513-01-70")</f>
        <v>9513-01-70</v>
      </c>
      <c r="E3019" s="3" t="str">
        <f>CLEAN("CTH K - CTH B")</f>
        <v>CTH K - CTH B</v>
      </c>
      <c r="F3019" s="3" t="str">
        <f>CLEAN("E FLOWAGE ROAD TO RUMMELS ROAD")</f>
        <v>E FLOWAGE ROAD TO RUMMELS ROAD</v>
      </c>
      <c r="G3019" s="3" t="str">
        <f>CLEAN("CONST/RECONSTRUCT")</f>
        <v>CONST/RECONSTRUCT</v>
      </c>
      <c r="H3019" s="2" t="str">
        <f>CLEAN("CTH S")</f>
        <v>CTH S</v>
      </c>
      <c r="I3019" s="2" t="str">
        <f>CLEAN("206")</f>
        <v>206</v>
      </c>
    </row>
    <row r="3020" spans="1:9" x14ac:dyDescent="0.35">
      <c r="A3020" s="2" t="str">
        <f t="shared" si="462"/>
        <v>VILAS</v>
      </c>
      <c r="B3020" s="2" t="str">
        <f t="shared" si="463"/>
        <v>VILAS COUNTY</v>
      </c>
      <c r="C3020" s="2" t="s">
        <v>1993</v>
      </c>
      <c r="D3020" s="2" t="str">
        <f>CLEAN("9514-00-00")</f>
        <v>9514-00-00</v>
      </c>
      <c r="E3020" s="3" t="str">
        <f>CLEAN("USH 51 - CTH K")</f>
        <v>USH 51 - CTH K</v>
      </c>
      <c r="F3020" s="3" t="str">
        <f>CLEAN("REST LAKE SPILLWAY  B-63-0011")</f>
        <v>REST LAKE SPILLWAY  B-63-0011</v>
      </c>
      <c r="G3020" s="3" t="str">
        <f>CLEAN("DESIGN/FULL PSE/REPLACEMENT")</f>
        <v>DESIGN/FULL PSE/REPLACEMENT</v>
      </c>
      <c r="H3020" s="2" t="str">
        <f>CLEAN("CTH W")</f>
        <v>CTH W</v>
      </c>
      <c r="I3020" s="2" t="str">
        <f>CLEAN("205")</f>
        <v>205</v>
      </c>
    </row>
    <row r="3021" spans="1:9" x14ac:dyDescent="0.35">
      <c r="A3021" s="2" t="str">
        <f>CLEAN("BROWN")</f>
        <v>BROWN</v>
      </c>
      <c r="B3021" s="2" t="str">
        <f>CLEAN("VILLAGE OF ALLOUEZ")</f>
        <v>VILLAGE OF ALLOUEZ</v>
      </c>
      <c r="C3021" s="2" t="s">
        <v>2444</v>
      </c>
      <c r="D3021" s="2" t="str">
        <f>CLEAN("4517-06-00")</f>
        <v>4517-06-00</v>
      </c>
      <c r="E3021" s="3" t="str">
        <f>CLEAN("V ALLOUEZ  LIBAL STREET")</f>
        <v>V ALLOUEZ  LIBAL STREET</v>
      </c>
      <c r="F3021" s="3" t="str">
        <f>CLEAN("STH 172 - KALB AVE")</f>
        <v>STH 172 - KALB AVE</v>
      </c>
      <c r="G3021" s="3" t="str">
        <f>CLEAN("DSGN/RECST")</f>
        <v>DSGN/RECST</v>
      </c>
      <c r="H3021" s="2" t="str">
        <f>CLEAN("LOC STR")</f>
        <v>LOC STR</v>
      </c>
      <c r="I3021" s="2" t="str">
        <f>CLEAN("206")</f>
        <v>206</v>
      </c>
    </row>
    <row r="3022" spans="1:9" x14ac:dyDescent="0.35">
      <c r="A3022" s="2" t="str">
        <f>CLEAN("BROWN")</f>
        <v>BROWN</v>
      </c>
      <c r="B3022" s="2" t="str">
        <f>CLEAN("VILLAGE OF ALLOUEZ")</f>
        <v>VILLAGE OF ALLOUEZ</v>
      </c>
      <c r="C3022" s="2" t="s">
        <v>2426</v>
      </c>
      <c r="D3022" s="2" t="str">
        <f>CLEAN("4517-07-00")</f>
        <v>4517-07-00</v>
      </c>
      <c r="E3022" s="3" t="str">
        <f>CLEAN("V ALLOUEZ  LIBAL STREET")</f>
        <v>V ALLOUEZ  LIBAL STREET</v>
      </c>
      <c r="F3022" s="3" t="str">
        <f>CLEAN("LEBRUN STREET TO CTH XX")</f>
        <v>LEBRUN STREET TO CTH XX</v>
      </c>
      <c r="G3022" s="3" t="str">
        <f>CLEAN("DSGN/FULL PSE/RSRF20")</f>
        <v>DSGN/FULL PSE/RSRF20</v>
      </c>
      <c r="H3022" s="2" t="str">
        <f>CLEAN("LOC STR")</f>
        <v>LOC STR</v>
      </c>
      <c r="I3022" s="2" t="str">
        <f>CLEAN("206")</f>
        <v>206</v>
      </c>
    </row>
    <row r="3023" spans="1:9" x14ac:dyDescent="0.35">
      <c r="A3023" s="2" t="str">
        <f>CLEAN("ST. CROIX")</f>
        <v>ST. CROIX</v>
      </c>
      <c r="B3023" s="2" t="str">
        <f>CLEAN("VILLAGE OF BALDWIN")</f>
        <v>VILLAGE OF BALDWIN</v>
      </c>
      <c r="C3023" s="2" t="s">
        <v>1165</v>
      </c>
      <c r="D3023" s="2" t="str">
        <f>CLEAN("1550-02-73")</f>
        <v>1550-02-73</v>
      </c>
      <c r="E3023" s="3" t="str">
        <f>CLEAN("BALDWIN - CLEAR LAKE")</f>
        <v>BALDWIN - CLEAR LAKE</v>
      </c>
      <c r="F3023" s="3" t="str">
        <f>CLEAN("BRANCH RUSH RIVER BRIDGE B-55-0289")</f>
        <v>BRANCH RUSH RIVER BRIDGE B-55-0289</v>
      </c>
      <c r="G3023" s="3" t="str">
        <f>CLEAN("CONSTRUCTION/BRIDGE REPLACEMENT")</f>
        <v>CONSTRUCTION/BRIDGE REPLACEMENT</v>
      </c>
      <c r="H3023" s="2" t="str">
        <f>CLEAN("USH 063")</f>
        <v>USH 063</v>
      </c>
      <c r="I3023" s="2" t="str">
        <f>CLEAN("303")</f>
        <v>303</v>
      </c>
    </row>
    <row r="3024" spans="1:9" x14ac:dyDescent="0.35">
      <c r="A3024" s="2" t="str">
        <f>CLEAN("POLK")</f>
        <v>POLK</v>
      </c>
      <c r="B3024" s="2" t="str">
        <f>CLEAN("VILLAGE OF BALSAM LAKE")</f>
        <v>VILLAGE OF BALSAM LAKE</v>
      </c>
      <c r="C3024" s="2" t="s">
        <v>1282</v>
      </c>
      <c r="D3024" s="2" t="str">
        <f>CLEAN("8030-00-70")</f>
        <v>8030-00-70</v>
      </c>
      <c r="E3024" s="3" t="str">
        <f>CLEAN("AMERY - MILLTOWN")</f>
        <v>AMERY - MILLTOWN</v>
      </c>
      <c r="F3024" s="3" t="str">
        <f>CLEAN("USH 8 TO STH 35")</f>
        <v>USH 8 TO STH 35</v>
      </c>
      <c r="G3024" s="3" t="str">
        <f>CLEAN("CONSTRUCTION/CIR/RESURFACING")</f>
        <v>CONSTRUCTION/CIR/RESURFACING</v>
      </c>
      <c r="H3024" s="2" t="str">
        <f>CLEAN("STH 046")</f>
        <v>STH 046</v>
      </c>
      <c r="I3024" s="2" t="str">
        <f>CLEAN("303")</f>
        <v>303</v>
      </c>
    </row>
    <row r="3025" spans="1:9" x14ac:dyDescent="0.35">
      <c r="A3025" s="2" t="str">
        <f>CLEAN("MILWAUKEE")</f>
        <v>MILWAUKEE</v>
      </c>
      <c r="B3025" s="2" t="str">
        <f t="shared" ref="B3025:B3030" si="464">CLEAN("VILLAGE OF BAYSIDE")</f>
        <v>VILLAGE OF BAYSIDE</v>
      </c>
      <c r="C3025" s="2" t="s">
        <v>2769</v>
      </c>
      <c r="D3025" s="2" t="str">
        <f>CLEAN("2225-05-01")</f>
        <v>2225-05-01</v>
      </c>
      <c r="E3025" s="3" t="str">
        <f>CLEAN("VBAYSIDE N LAKE DR  W BROWN DEER RD")</f>
        <v>VBAYSIDE N LAKE DR  W BROWN DEER RD</v>
      </c>
      <c r="F3025" s="3" t="str">
        <f>CLEAN("E DEAN RD TO N MOHAWK RD")</f>
        <v>E DEAN RD TO N MOHAWK RD</v>
      </c>
      <c r="G3025" s="3" t="str">
        <f>CLEAN("PE/FULL PS&amp;E/RESURFACE")</f>
        <v>PE/FULL PS&amp;E/RESURFACE</v>
      </c>
      <c r="H3025" s="2" t="str">
        <f>CLEAN("STH 032")</f>
        <v>STH 032</v>
      </c>
      <c r="I3025" s="2" t="str">
        <f>CLEAN("303")</f>
        <v>303</v>
      </c>
    </row>
    <row r="3026" spans="1:9" x14ac:dyDescent="0.35">
      <c r="A3026" s="2" t="str">
        <f>CLEAN("MILWAUKEE")</f>
        <v>MILWAUKEE</v>
      </c>
      <c r="B3026" s="2" t="str">
        <f t="shared" si="464"/>
        <v>VILLAGE OF BAYSIDE</v>
      </c>
      <c r="C3026" s="2" t="s">
        <v>818</v>
      </c>
      <c r="D3026" s="2" t="str">
        <f>CLEAN("1229-04-73")</f>
        <v>1229-04-73</v>
      </c>
      <c r="E3026" s="3" t="str">
        <f>CLEAN("I-43 NORTH SOUTH FREEWAY")</f>
        <v>I-43 NORTH SOUTH FREEWAY</v>
      </c>
      <c r="F3026" s="3" t="str">
        <f>CLEAN("BENDER ROAD TO BROWN DEER ROAD")</f>
        <v>BENDER ROAD TO BROWN DEER ROAD</v>
      </c>
      <c r="G3026" s="3" t="str">
        <f>CLEAN("CONST/RECONSTRUCTION W/ EXPANSION")</f>
        <v>CONST/RECONSTRUCTION W/ EXPANSION</v>
      </c>
      <c r="H3026" s="2" t="str">
        <f>CLEAN("IH  043")</f>
        <v>IH  043</v>
      </c>
      <c r="I3026" s="2" t="str">
        <f>CLEAN("302")</f>
        <v>302</v>
      </c>
    </row>
    <row r="3027" spans="1:9" x14ac:dyDescent="0.35">
      <c r="A3027" s="2" t="str">
        <f>CLEAN("OZAUKEE")</f>
        <v>OZAUKEE</v>
      </c>
      <c r="B3027" s="2" t="str">
        <f t="shared" si="464"/>
        <v>VILLAGE OF BAYSIDE</v>
      </c>
      <c r="C3027" s="2" t="s">
        <v>807</v>
      </c>
      <c r="D3027" s="2" t="str">
        <f>CLEAN("1229-04-74")</f>
        <v>1229-04-74</v>
      </c>
      <c r="E3027" s="3" t="str">
        <f>CLEAN("I-43 NORTH SOUTH FREEWAY")</f>
        <v>I-43 NORTH SOUTH FREEWAY</v>
      </c>
      <c r="F3027" s="3" t="str">
        <f>CLEAN("W COUNTY LINE RD INTERCHANGE")</f>
        <v>W COUNTY LINE RD INTERCHANGE</v>
      </c>
      <c r="G3027" s="3" t="str">
        <f>CLEAN("CONST/RECONSTRUCT W/EXPANSION")</f>
        <v>CONST/RECONSTRUCT W/EXPANSION</v>
      </c>
      <c r="H3027" s="2" t="str">
        <f>CLEAN("IH  043")</f>
        <v>IH  043</v>
      </c>
      <c r="I3027" s="2" t="str">
        <f>CLEAN("302")</f>
        <v>302</v>
      </c>
    </row>
    <row r="3028" spans="1:9" x14ac:dyDescent="0.35">
      <c r="A3028" s="2" t="str">
        <f>CLEAN("MILWAUKEE")</f>
        <v>MILWAUKEE</v>
      </c>
      <c r="B3028" s="2" t="str">
        <f t="shared" si="464"/>
        <v>VILLAGE OF BAYSIDE</v>
      </c>
      <c r="C3028" s="2" t="s">
        <v>2863</v>
      </c>
      <c r="D3028" s="2" t="str">
        <f>CLEAN("2225-22-00")</f>
        <v>2225-22-00</v>
      </c>
      <c r="E3028" s="3" t="str">
        <f>CLEAN("BROWN DEER RD PED CRSWLK ENHNCMNT")</f>
        <v>BROWN DEER RD PED CRSWLK ENHNCMNT</v>
      </c>
      <c r="F3028" s="3" t="str">
        <f>CLEAN("INTERSECTIONS WITH PELHAM &amp; REGENT")</f>
        <v>INTERSECTIONS WITH PELHAM &amp; REGENT</v>
      </c>
      <c r="G3028" s="3" t="str">
        <f>CLEAN("PE/FULL PSE/MISC")</f>
        <v>PE/FULL PSE/MISC</v>
      </c>
      <c r="H3028" s="2" t="str">
        <f>CLEAN("NON HWY")</f>
        <v>NON HWY</v>
      </c>
      <c r="I3028" s="2" t="str">
        <f>CLEAN("290")</f>
        <v>290</v>
      </c>
    </row>
    <row r="3029" spans="1:9" x14ac:dyDescent="0.35">
      <c r="A3029" s="2" t="str">
        <f>CLEAN("MILWAUKEE")</f>
        <v>MILWAUKEE</v>
      </c>
      <c r="B3029" s="2" t="str">
        <f t="shared" si="464"/>
        <v>VILLAGE OF BAYSIDE</v>
      </c>
      <c r="C3029" s="2" t="s">
        <v>3088</v>
      </c>
      <c r="D3029" s="2" t="str">
        <f>CLEAN("2966-00-01")</f>
        <v>2966-00-01</v>
      </c>
      <c r="E3029" s="3" t="str">
        <f>CLEAN("BAYSIDE LOWER EMISSIONS INITIATIVE")</f>
        <v>BAYSIDE LOWER EMISSIONS INITIATIVE</v>
      </c>
      <c r="F3029" s="3" t="str">
        <f>CLEAN("VILLAGE WIDE")</f>
        <v>VILLAGE WIDE</v>
      </c>
      <c r="G3029" s="3" t="str">
        <f>CLEAN("PROCUREMENT REVIEW")</f>
        <v>PROCUREMENT REVIEW</v>
      </c>
      <c r="H3029" s="2" t="str">
        <f>CLEAN("NON HWY")</f>
        <v>NON HWY</v>
      </c>
      <c r="I3029" s="2" t="str">
        <f>CLEAN("211")</f>
        <v>211</v>
      </c>
    </row>
    <row r="3030" spans="1:9" x14ac:dyDescent="0.35">
      <c r="A3030" s="2" t="str">
        <f>CLEAN("MILWAUKEE")</f>
        <v>MILWAUKEE</v>
      </c>
      <c r="B3030" s="2" t="str">
        <f t="shared" si="464"/>
        <v>VILLAGE OF BAYSIDE</v>
      </c>
      <c r="C3030" s="2" t="s">
        <v>2581</v>
      </c>
      <c r="D3030" s="2" t="str">
        <f>CLEAN("2966-00-91")</f>
        <v>2966-00-91</v>
      </c>
      <c r="E3030" s="3" t="str">
        <f>CLEAN("BAYSIDE LOWER EMISSIONS INITIATIVE")</f>
        <v>BAYSIDE LOWER EMISSIONS INITIATIVE</v>
      </c>
      <c r="F3030" s="3" t="str">
        <f>CLEAN("VILLAGE WIDE")</f>
        <v>VILLAGE WIDE</v>
      </c>
      <c r="G3030" s="3" t="str">
        <f>CLEAN("MIS/PROCUREMENT")</f>
        <v>MIS/PROCUREMENT</v>
      </c>
      <c r="H3030" s="2" t="str">
        <f>CLEAN("NON HWY")</f>
        <v>NON HWY</v>
      </c>
      <c r="I3030" s="2" t="str">
        <f>CLEAN("211")</f>
        <v>211</v>
      </c>
    </row>
    <row r="3031" spans="1:9" x14ac:dyDescent="0.35">
      <c r="A3031" s="2" t="str">
        <f>CLEAN("OUTAGAMIE")</f>
        <v>OUTAGAMIE</v>
      </c>
      <c r="B3031" s="2" t="str">
        <f>CLEAN("VILLAGE OF BEAR CREEK")</f>
        <v>VILLAGE OF BEAR CREEK</v>
      </c>
      <c r="C3031" s="2" t="s">
        <v>1060</v>
      </c>
      <c r="D3031" s="2" t="str">
        <f>CLEAN("6518-06-71")</f>
        <v>6518-06-71</v>
      </c>
      <c r="E3031" s="3" t="str">
        <f>CLEAN("SHIOCTON - BEAR CREEK")</f>
        <v>SHIOCTON - BEAR CREEK</v>
      </c>
      <c r="F3031" s="3" t="str">
        <f>CLEAN("STH 54 - NCL")</f>
        <v>STH 54 - NCL</v>
      </c>
      <c r="G3031" s="3" t="str">
        <f>CLEAN("CONST/SURFACE")</f>
        <v>CONST/SURFACE</v>
      </c>
      <c r="H3031" s="2" t="str">
        <f>CLEAN("STH 076")</f>
        <v>STH 076</v>
      </c>
      <c r="I3031" s="2" t="str">
        <f>CLEAN("303")</f>
        <v>303</v>
      </c>
    </row>
    <row r="3032" spans="1:9" x14ac:dyDescent="0.35">
      <c r="A3032" s="2" t="str">
        <f>CLEAN("DANE")</f>
        <v>DANE</v>
      </c>
      <c r="B3032" s="2" t="str">
        <f>CLEAN("VILLAGE OF BELLEVILLE")</f>
        <v>VILLAGE OF BELLEVILLE</v>
      </c>
      <c r="C3032" s="2" t="s">
        <v>3344</v>
      </c>
      <c r="D3032" s="2" t="str">
        <f>CLEAN("1009-22-16")</f>
        <v>1009-22-16</v>
      </c>
      <c r="E3032" s="3" t="str">
        <f>CLEAN("Belleville SRTS Study")</f>
        <v>Belleville SRTS Study</v>
      </c>
      <c r="F3032" s="3" t="str">
        <f>CLEAN("WIS69 WIS92 WITHIN VILLAGE")</f>
        <v>WIS69 WIS92 WITHIN VILLAGE</v>
      </c>
      <c r="G3032" s="3" t="str">
        <f>CLEAN("SRTS PLANNING STUDY")</f>
        <v>SRTS PLANNING STUDY</v>
      </c>
      <c r="H3032" s="2" t="str">
        <f>CLEAN("NON HWY")</f>
        <v>NON HWY</v>
      </c>
      <c r="I3032" s="2" t="str">
        <f>CLEAN("290")</f>
        <v>290</v>
      </c>
    </row>
    <row r="3033" spans="1:9" x14ac:dyDescent="0.35">
      <c r="A3033" s="2" t="str">
        <f>CLEAN("DANE")</f>
        <v>DANE</v>
      </c>
      <c r="B3033" s="2" t="str">
        <f>CLEAN("VILLAGE OF BELLEVILLE")</f>
        <v>VILLAGE OF BELLEVILLE</v>
      </c>
      <c r="C3033" s="2" t="s">
        <v>1101</v>
      </c>
      <c r="D3033" s="2" t="str">
        <f>CLEAN("1693-05-73")</f>
        <v>1693-05-73</v>
      </c>
      <c r="E3033" s="3" t="str">
        <f>CLEAN("NEW GLARUS - VERONA")</f>
        <v>NEW GLARUS - VERONA</v>
      </c>
      <c r="F3033" s="3" t="str">
        <f>CLEAN("CTH D TO V BELLEVILLE NORTH LIMIT")</f>
        <v>CTH D TO V BELLEVILLE NORTH LIMIT</v>
      </c>
      <c r="G3033" s="3" t="str">
        <f>CLEAN("CONST/WATER MAIN/RECST")</f>
        <v>CONST/WATER MAIN/RECST</v>
      </c>
      <c r="H3033" s="2" t="str">
        <f>CLEAN("STH 069")</f>
        <v>STH 069</v>
      </c>
      <c r="I3033" s="2" t="str">
        <f>CLEAN("303")</f>
        <v>303</v>
      </c>
    </row>
    <row r="3034" spans="1:9" x14ac:dyDescent="0.35">
      <c r="A3034" s="2" t="str">
        <f t="shared" ref="A3034:A3040" si="465">CLEAN("BROWN")</f>
        <v>BROWN</v>
      </c>
      <c r="B3034" s="2" t="str">
        <f t="shared" ref="B3034:B3040" si="466">CLEAN("VILLAGE OF BELLEVUE")</f>
        <v>VILLAGE OF BELLEVUE</v>
      </c>
      <c r="C3034" s="2" t="s">
        <v>307</v>
      </c>
      <c r="D3034" s="2" t="str">
        <f>CLEAN("1450-18-71")</f>
        <v>1450-18-71</v>
      </c>
      <c r="E3034" s="3" t="str">
        <f>CLEAN("LEDGEVIEW - BELLEVUE")</f>
        <v>LEDGEVIEW - BELLEVUE</v>
      </c>
      <c r="F3034" s="3" t="str">
        <f>CLEAN("CTH MM - CONTINENTAL DR")</f>
        <v>CTH MM - CONTINENTAL DR</v>
      </c>
      <c r="G3034" s="3" t="str">
        <f>CLEAN("CONST OPS/RSRF30")</f>
        <v>CONST OPS/RSRF30</v>
      </c>
      <c r="H3034" s="2" t="str">
        <f>CLEAN("USH 141")</f>
        <v>USH 141</v>
      </c>
      <c r="I3034" s="2" t="str">
        <f>CLEAN("303")</f>
        <v>303</v>
      </c>
    </row>
    <row r="3035" spans="1:9" x14ac:dyDescent="0.35">
      <c r="A3035" s="2" t="str">
        <f t="shared" si="465"/>
        <v>BROWN</v>
      </c>
      <c r="B3035" s="2" t="str">
        <f t="shared" si="466"/>
        <v>VILLAGE OF BELLEVUE</v>
      </c>
      <c r="C3035" s="2" t="s">
        <v>2390</v>
      </c>
      <c r="D3035" s="2" t="str">
        <f>CLEAN("4516-00-00")</f>
        <v>4516-00-00</v>
      </c>
      <c r="E3035" s="3" t="str">
        <f>CLEAN("V BELLEVUE  PEDESTRIAN TRAIL")</f>
        <v>V BELLEVUE  PEDESTRIAN TRAIL</v>
      </c>
      <c r="F3035" s="3" t="str">
        <f>CLEAN("ONTARIO ROAD - HURON ROAD")</f>
        <v>ONTARIO ROAD - HURON ROAD</v>
      </c>
      <c r="G3035" s="3" t="str">
        <f>CLEAN("DSGN/FULL PSE/MISC")</f>
        <v>DSGN/FULL PSE/MISC</v>
      </c>
      <c r="H3035" s="2" t="str">
        <f>CLEAN("NON HWY")</f>
        <v>NON HWY</v>
      </c>
      <c r="I3035" s="2" t="str">
        <f>CLEAN("290")</f>
        <v>290</v>
      </c>
    </row>
    <row r="3036" spans="1:9" x14ac:dyDescent="0.35">
      <c r="A3036" s="2" t="str">
        <f t="shared" si="465"/>
        <v>BROWN</v>
      </c>
      <c r="B3036" s="2" t="str">
        <f t="shared" si="466"/>
        <v>VILLAGE OF BELLEVUE</v>
      </c>
      <c r="C3036" s="2" t="s">
        <v>23</v>
      </c>
      <c r="D3036" s="2" t="str">
        <f>CLEAN("4516-10-71")</f>
        <v>4516-10-71</v>
      </c>
      <c r="E3036" s="3" t="str">
        <f>CLEAN("V BELLEVUE  ALLOUEZ AVENUE")</f>
        <v>V BELLEVUE  ALLOUEZ AVENUE</v>
      </c>
      <c r="F3036" s="3" t="str">
        <f>CLEAN("HAZEN ROAD - USH 141")</f>
        <v>HAZEN ROAD - USH 141</v>
      </c>
      <c r="G3036" s="3" t="str">
        <f>CLEAN("CNST OPS/RECST")</f>
        <v>CNST OPS/RECST</v>
      </c>
      <c r="H3036" s="2" t="str">
        <f>CLEAN("LOC STR")</f>
        <v>LOC STR</v>
      </c>
      <c r="I3036" s="2" t="str">
        <f>CLEAN("206")</f>
        <v>206</v>
      </c>
    </row>
    <row r="3037" spans="1:9" x14ac:dyDescent="0.35">
      <c r="A3037" s="2" t="str">
        <f t="shared" si="465"/>
        <v>BROWN</v>
      </c>
      <c r="B3037" s="2" t="str">
        <f t="shared" si="466"/>
        <v>VILLAGE OF BELLEVUE</v>
      </c>
      <c r="C3037" s="2" t="s">
        <v>2471</v>
      </c>
      <c r="D3037" s="2" t="str">
        <f>CLEAN("4516-11-72")</f>
        <v>4516-11-72</v>
      </c>
      <c r="E3037" s="3" t="str">
        <f>CLEAN("V BELLEVUE  HOFFMAN ROAD")</f>
        <v>V BELLEVUE  HOFFMAN ROAD</v>
      </c>
      <c r="F3037" s="3" t="str">
        <f>CLEAN("BELLEVUE STREET TO MONROE ROAD")</f>
        <v>BELLEVUE STREET TO MONROE ROAD</v>
      </c>
      <c r="G3037" s="3" t="str">
        <f>CLEAN("DSN/FULL PSE/RECST")</f>
        <v>DSN/FULL PSE/RECST</v>
      </c>
      <c r="H3037" s="2" t="str">
        <f>CLEAN("LOC STR")</f>
        <v>LOC STR</v>
      </c>
      <c r="I3037" s="2" t="str">
        <f>CLEAN("206")</f>
        <v>206</v>
      </c>
    </row>
    <row r="3038" spans="1:9" x14ac:dyDescent="0.35">
      <c r="A3038" s="2" t="str">
        <f t="shared" si="465"/>
        <v>BROWN</v>
      </c>
      <c r="B3038" s="2" t="str">
        <f t="shared" si="466"/>
        <v>VILLAGE OF BELLEVUE</v>
      </c>
      <c r="C3038" s="2" t="s">
        <v>268</v>
      </c>
      <c r="D3038" s="2" t="str">
        <f>CLEAN("4516-11-73")</f>
        <v>4516-11-73</v>
      </c>
      <c r="E3038" s="3" t="str">
        <f>CLEAN("V BELLEVUE  HOFFMAN ROAD")</f>
        <v>V BELLEVUE  HOFFMAN ROAD</v>
      </c>
      <c r="F3038" s="3" t="str">
        <f>CLEAN("BELLEVUE STREET TO MONROE ROAD")</f>
        <v>BELLEVUE STREET TO MONROE ROAD</v>
      </c>
      <c r="G3038" s="3" t="str">
        <f>CLEAN("CONST OPS/RECST")</f>
        <v>CONST OPS/RECST</v>
      </c>
      <c r="H3038" s="2" t="str">
        <f>CLEAN("LOC STR")</f>
        <v>LOC STR</v>
      </c>
      <c r="I3038" s="2" t="str">
        <f>CLEAN("206")</f>
        <v>206</v>
      </c>
    </row>
    <row r="3039" spans="1:9" x14ac:dyDescent="0.35">
      <c r="A3039" s="2" t="str">
        <f t="shared" si="465"/>
        <v>BROWN</v>
      </c>
      <c r="B3039" s="2" t="str">
        <f t="shared" si="466"/>
        <v>VILLAGE OF BELLEVUE</v>
      </c>
      <c r="C3039" s="2" t="s">
        <v>2477</v>
      </c>
      <c r="D3039" s="2" t="str">
        <f>CLEAN("4516-12-74")</f>
        <v>4516-12-74</v>
      </c>
      <c r="E3039" s="3" t="str">
        <f>CLEAN("V BELLEVUE  ONTARIO ROAD")</f>
        <v>V BELLEVUE  ONTARIO ROAD</v>
      </c>
      <c r="F3039" s="3" t="str">
        <f>CLEAN("EATON ROAD TO NORTH VILLAGE LIMITS")</f>
        <v>EATON ROAD TO NORTH VILLAGE LIMITS</v>
      </c>
      <c r="G3039" s="3" t="str">
        <f>CLEAN("DSN/FULL PSE/RECST")</f>
        <v>DSN/FULL PSE/RECST</v>
      </c>
      <c r="H3039" s="2" t="str">
        <f>CLEAN("LOC STR")</f>
        <v>LOC STR</v>
      </c>
      <c r="I3039" s="2" t="str">
        <f>CLEAN("206")</f>
        <v>206</v>
      </c>
    </row>
    <row r="3040" spans="1:9" x14ac:dyDescent="0.35">
      <c r="A3040" s="2" t="str">
        <f t="shared" si="465"/>
        <v>BROWN</v>
      </c>
      <c r="B3040" s="2" t="str">
        <f t="shared" si="466"/>
        <v>VILLAGE OF BELLEVUE</v>
      </c>
      <c r="C3040" s="2" t="s">
        <v>277</v>
      </c>
      <c r="D3040" s="2" t="str">
        <f>CLEAN("4516-12-75")</f>
        <v>4516-12-75</v>
      </c>
      <c r="E3040" s="3" t="str">
        <f>CLEAN("V BELLEVUE  ONTARIO ROAD")</f>
        <v>V BELLEVUE  ONTARIO ROAD</v>
      </c>
      <c r="F3040" s="3" t="str">
        <f>CLEAN("EATON ROAD TO NORTH VILLAGE LIMITS")</f>
        <v>EATON ROAD TO NORTH VILLAGE LIMITS</v>
      </c>
      <c r="G3040" s="3" t="str">
        <f>CLEAN("CONST OPS/RECST")</f>
        <v>CONST OPS/RECST</v>
      </c>
      <c r="H3040" s="2" t="str">
        <f>CLEAN("LOC STR")</f>
        <v>LOC STR</v>
      </c>
      <c r="I3040" s="2" t="str">
        <f>CLEAN("206")</f>
        <v>206</v>
      </c>
    </row>
    <row r="3041" spans="1:9" x14ac:dyDescent="0.35">
      <c r="A3041" s="2" t="str">
        <f>CLEAN("OUTAGAMIE")</f>
        <v>OUTAGAMIE</v>
      </c>
      <c r="B3041" s="2" t="str">
        <f>CLEAN("VILLAGE OF BLACK CREEK")</f>
        <v>VILLAGE OF BLACK CREEK</v>
      </c>
      <c r="C3041" s="2" t="s">
        <v>298</v>
      </c>
      <c r="D3041" s="2" t="str">
        <f>CLEAN("6240-29-71")</f>
        <v>6240-29-71</v>
      </c>
      <c r="E3041" s="3" t="str">
        <f>CLEAN("S MAIN STREET  V OF BLACK CREEK")</f>
        <v>S MAIN STREET  V OF BLACK CREEK</v>
      </c>
      <c r="F3041" s="3" t="str">
        <f>CLEAN("CTH B-BURDICK STREET")</f>
        <v>CTH B-BURDICK STREET</v>
      </c>
      <c r="G3041" s="3" t="str">
        <f>CLEAN("CONST OPS/RSRF10")</f>
        <v>CONST OPS/RSRF10</v>
      </c>
      <c r="H3041" s="2" t="str">
        <f>CLEAN("STH 047")</f>
        <v>STH 047</v>
      </c>
      <c r="I3041" s="2" t="str">
        <f>CLEAN("303")</f>
        <v>303</v>
      </c>
    </row>
    <row r="3042" spans="1:9" x14ac:dyDescent="0.35">
      <c r="A3042" s="2" t="str">
        <f>CLEAN("OUTAGAMIE")</f>
        <v>OUTAGAMIE</v>
      </c>
      <c r="B3042" s="2" t="str">
        <f>CLEAN("VILLAGE OF BLACK CREEK")</f>
        <v>VILLAGE OF BLACK CREEK</v>
      </c>
      <c r="C3042" s="2" t="s">
        <v>301</v>
      </c>
      <c r="D3042" s="2" t="str">
        <f>CLEAN("6240-30-71")</f>
        <v>6240-30-71</v>
      </c>
      <c r="E3042" s="3" t="str">
        <f>CLEAN("BLACK CREEK - BONDUEL")</f>
        <v>BLACK CREEK - BONDUEL</v>
      </c>
      <c r="F3042" s="3" t="str">
        <f>CLEAN("BURDICK ST - NCL")</f>
        <v>BURDICK ST - NCL</v>
      </c>
      <c r="G3042" s="3" t="str">
        <f>CLEAN("CONST OPS/RSRF10/HSIP")</f>
        <v>CONST OPS/RSRF10/HSIP</v>
      </c>
      <c r="H3042" s="2" t="str">
        <f>CLEAN("STH 047")</f>
        <v>STH 047</v>
      </c>
      <c r="I3042" s="2" t="str">
        <f>CLEAN("303")</f>
        <v>303</v>
      </c>
    </row>
    <row r="3043" spans="1:9" x14ac:dyDescent="0.35">
      <c r="A3043" s="2" t="str">
        <f>CLEAN("OUTAGAMIE")</f>
        <v>OUTAGAMIE</v>
      </c>
      <c r="B3043" s="2" t="str">
        <f>CLEAN("VILLAGE OF BLACK CREEK")</f>
        <v>VILLAGE OF BLACK CREEK</v>
      </c>
      <c r="C3043" s="2" t="s">
        <v>3235</v>
      </c>
      <c r="D3043" s="2" t="str">
        <f>CLEAN("6240-31-50")</f>
        <v>6240-31-50</v>
      </c>
      <c r="E3043" s="3" t="str">
        <f>CLEAN("V BLACK CREEK  SEWER OPEN TRENCH")</f>
        <v>V BLACK CREEK  SEWER OPEN TRENCH</v>
      </c>
      <c r="F3043" s="3" t="str">
        <f>CLEAN("FOXY RR WORK PERMIT WRE-2023-428")</f>
        <v>FOXY RR WORK PERMIT WRE-2023-428</v>
      </c>
      <c r="G3043" s="3" t="str">
        <f>CLEAN("RR OPS/MISC")</f>
        <v>RR OPS/MISC</v>
      </c>
      <c r="H3043" s="2" t="str">
        <f>CLEAN("LOC STR")</f>
        <v>LOC STR</v>
      </c>
      <c r="I3043" s="2" t="str">
        <f>CLEAN("303")</f>
        <v>303</v>
      </c>
    </row>
    <row r="3044" spans="1:9" x14ac:dyDescent="0.35">
      <c r="A3044" s="2" t="str">
        <f>CLEAN("OUTAGAMIE")</f>
        <v>OUTAGAMIE</v>
      </c>
      <c r="B3044" s="2" t="str">
        <f>CLEAN("VILLAGE OF BLACK CREEK")</f>
        <v>VILLAGE OF BLACK CREEK</v>
      </c>
      <c r="C3044" s="2" t="s">
        <v>176</v>
      </c>
      <c r="D3044" s="2" t="str">
        <f>CLEAN("6240-31-71")</f>
        <v>6240-31-71</v>
      </c>
      <c r="E3044" s="3" t="str">
        <f>CLEAN("V BLACK CREEK  STH 47")</f>
        <v>V BLACK CREEK  STH 47</v>
      </c>
      <c r="F3044" s="3" t="str">
        <f>CLEAN("STORM SEWER IMPROVEMENT")</f>
        <v>STORM SEWER IMPROVEMENT</v>
      </c>
      <c r="G3044" s="3" t="str">
        <f>CLEAN("CONST OPS/MISC")</f>
        <v>CONST OPS/MISC</v>
      </c>
      <c r="H3044" s="2" t="str">
        <f>CLEAN("STH 047")</f>
        <v>STH 047</v>
      </c>
      <c r="I3044" s="2" t="str">
        <f>CLEAN("303")</f>
        <v>303</v>
      </c>
    </row>
    <row r="3045" spans="1:9" x14ac:dyDescent="0.35">
      <c r="A3045" s="2" t="str">
        <f>CLEAN("LAFAYETTE")</f>
        <v>LAFAYETTE</v>
      </c>
      <c r="B3045" s="2" t="str">
        <f>CLEAN("VILLAGE OF BLANCHARDVILLE")</f>
        <v>VILLAGE OF BLANCHARDVILLE</v>
      </c>
      <c r="C3045" s="2" t="s">
        <v>1855</v>
      </c>
      <c r="D3045" s="2" t="str">
        <f>CLEAN("5590-05-03")</f>
        <v>5590-05-03</v>
      </c>
      <c r="E3045" s="3" t="str">
        <f>CLEAN("V BLANCHARDVILLE  STH 78")</f>
        <v>V BLANCHARDVILLE  STH 78</v>
      </c>
      <c r="F3045" s="3" t="str">
        <f>CLEAN("E. SCHOOL ST. TO MADISON ST.")</f>
        <v>E. SCHOOL ST. TO MADISON ST.</v>
      </c>
      <c r="G3045" s="3" t="str">
        <f>CLEAN("DESIGN/CARBON RED-LED LIGHTING")</f>
        <v>DESIGN/CARBON RED-LED LIGHTING</v>
      </c>
      <c r="H3045" s="2" t="str">
        <f>CLEAN("STH 078")</f>
        <v>STH 078</v>
      </c>
      <c r="I3045" s="2" t="str">
        <f>CLEAN("206")</f>
        <v>206</v>
      </c>
    </row>
    <row r="3046" spans="1:9" x14ac:dyDescent="0.35">
      <c r="A3046" s="2" t="str">
        <f>CLEAN("GREEN")</f>
        <v>GREEN</v>
      </c>
      <c r="B3046" s="2" t="str">
        <f>CLEAN("VILLAGE OF BLANCHARDVILLE")</f>
        <v>VILLAGE OF BLANCHARDVILLE</v>
      </c>
      <c r="C3046" s="2" t="s">
        <v>337</v>
      </c>
      <c r="D3046" s="2" t="str">
        <f>CLEAN("5590-05-71")</f>
        <v>5590-05-71</v>
      </c>
      <c r="E3046" s="3" t="str">
        <f>CLEAN("ARGYLE - MT HOREB")</f>
        <v>ARGYLE - MT HOREB</v>
      </c>
      <c r="F3046" s="3" t="str">
        <f>CLEAN("LIEN COURT TO NORTH JUNCTION CTH H")</f>
        <v>LIEN COURT TO NORTH JUNCTION CTH H</v>
      </c>
      <c r="G3046" s="3" t="str">
        <f>CLEAN("CONST/ MILL AND OVERLAY")</f>
        <v>CONST/ MILL AND OVERLAY</v>
      </c>
      <c r="H3046" s="2" t="str">
        <f>CLEAN("STH 078")</f>
        <v>STH 078</v>
      </c>
      <c r="I3046" s="2" t="str">
        <f>CLEAN("303")</f>
        <v>303</v>
      </c>
    </row>
    <row r="3047" spans="1:9" x14ac:dyDescent="0.35">
      <c r="A3047" s="2" t="str">
        <f>CLEAN("GRANT")</f>
        <v>GRANT</v>
      </c>
      <c r="B3047" s="2" t="str">
        <f>CLEAN("VILLAGE OF BLOOMINGTON")</f>
        <v>VILLAGE OF BLOOMINGTON</v>
      </c>
      <c r="C3047" s="2" t="s">
        <v>614</v>
      </c>
      <c r="D3047" s="2" t="str">
        <f>CLEAN("5580-04-70")</f>
        <v>5580-04-70</v>
      </c>
      <c r="E3047" s="3" t="str">
        <f>CLEAN("BLOOMINGTON - PRAIRIE DU CHIEN")</f>
        <v>BLOOMINGTON - PRAIRIE DU CHIEN</v>
      </c>
      <c r="F3047" s="3" t="str">
        <f>CLEAN("W JUNCTION STH 133 TO USH 18")</f>
        <v>W JUNCTION STH 133 TO USH 18</v>
      </c>
      <c r="G3047" s="3" t="str">
        <f>CLEAN("CONST/MILL &amp; OVERLAY/RSRF")</f>
        <v>CONST/MILL &amp; OVERLAY/RSRF</v>
      </c>
      <c r="H3047" s="2" t="str">
        <f>CLEAN("STH 035")</f>
        <v>STH 035</v>
      </c>
      <c r="I3047" s="2" t="str">
        <f>CLEAN("303")</f>
        <v>303</v>
      </c>
    </row>
    <row r="3048" spans="1:9" x14ac:dyDescent="0.35">
      <c r="A3048" s="2" t="str">
        <f>CLEAN("SHAWANO")</f>
        <v>SHAWANO</v>
      </c>
      <c r="B3048" s="2" t="str">
        <f>CLEAN("VILLAGE OF BONDUEL")</f>
        <v>VILLAGE OF BONDUEL</v>
      </c>
      <c r="C3048" s="2" t="s">
        <v>536</v>
      </c>
      <c r="D3048" s="2" t="str">
        <f>CLEAN("9220-00-80")</f>
        <v>9220-00-80</v>
      </c>
      <c r="E3048" s="3" t="str">
        <f>CLEAN("BONDUEL LED STREETLIGHT CONVERSION")</f>
        <v>BONDUEL LED STREETLIGHT CONVERSION</v>
      </c>
      <c r="F3048" s="3" t="str">
        <f>CLEAN("VARIOUS STREET LOCATIONS")</f>
        <v>VARIOUS STREET LOCATIONS</v>
      </c>
      <c r="G3048" s="3" t="str">
        <f>CLEAN("CONST/CRP/MISC")</f>
        <v>CONST/CRP/MISC</v>
      </c>
      <c r="H3048" s="2" t="str">
        <f>CLEAN("LOC STR")</f>
        <v>LOC STR</v>
      </c>
      <c r="I3048" s="2" t="str">
        <f>CLEAN("206")</f>
        <v>206</v>
      </c>
    </row>
    <row r="3049" spans="1:9" x14ac:dyDescent="0.35">
      <c r="A3049" s="2" t="str">
        <f>CLEAN("SHAWANO")</f>
        <v>SHAWANO</v>
      </c>
      <c r="B3049" s="2" t="str">
        <f>CLEAN("VILLAGE OF BONDUEL")</f>
        <v>VILLAGE OF BONDUEL</v>
      </c>
      <c r="C3049" s="2" t="s">
        <v>663</v>
      </c>
      <c r="D3049" s="2" t="str">
        <f>CLEAN("9220-04-72")</f>
        <v>9220-04-72</v>
      </c>
      <c r="E3049" s="3" t="str">
        <f>CLEAN("BONDUEL - CECIL")</f>
        <v>BONDUEL - CECIL</v>
      </c>
      <c r="F3049" s="3" t="str">
        <f>CLEAN("EXPRESS WAY TO MUTZY LANE")</f>
        <v>EXPRESS WAY TO MUTZY LANE</v>
      </c>
      <c r="G3049" s="3" t="str">
        <f>CLEAN("CONST/PAVEMENT REPLACEMENT")</f>
        <v>CONST/PAVEMENT REPLACEMENT</v>
      </c>
      <c r="H3049" s="2" t="str">
        <f>CLEAN("STH 117")</f>
        <v>STH 117</v>
      </c>
      <c r="I3049" s="2" t="str">
        <f>CLEAN("303")</f>
        <v>303</v>
      </c>
    </row>
    <row r="3050" spans="1:9" x14ac:dyDescent="0.35">
      <c r="A3050" s="2" t="str">
        <f>CLEAN("SHAWANO")</f>
        <v>SHAWANO</v>
      </c>
      <c r="B3050" s="2" t="str">
        <f>CLEAN("VILLAGE OF BONDUEL")</f>
        <v>VILLAGE OF BONDUEL</v>
      </c>
      <c r="C3050" s="2" t="s">
        <v>2568</v>
      </c>
      <c r="D3050" s="2" t="str">
        <f>CLEAN("9220-04-82")</f>
        <v>9220-04-82</v>
      </c>
      <c r="E3050" s="3" t="str">
        <f>CLEAN("BONDUEL - CECIL")</f>
        <v>BONDUEL - CECIL</v>
      </c>
      <c r="F3050" s="3" t="str">
        <f>CLEAN("EXPRESS WAY TO MUTZY LANE")</f>
        <v>EXPRESS WAY TO MUTZY LANE</v>
      </c>
      <c r="G3050" s="3" t="str">
        <f>CLEAN("LOCAL UTILITY/PVRPLA")</f>
        <v>LOCAL UTILITY/PVRPLA</v>
      </c>
      <c r="H3050" s="2" t="str">
        <f>CLEAN("STH 117")</f>
        <v>STH 117</v>
      </c>
      <c r="I3050" s="2" t="str">
        <f>CLEAN("303")</f>
        <v>303</v>
      </c>
    </row>
    <row r="3051" spans="1:9" x14ac:dyDescent="0.35">
      <c r="A3051" s="2" t="str">
        <f>CLEAN("KENOSHA")</f>
        <v>KENOSHA</v>
      </c>
      <c r="B3051" s="2" t="str">
        <f>CLEAN("VILLAGE OF BRISTOL")</f>
        <v>VILLAGE OF BRISTOL</v>
      </c>
      <c r="C3051" s="2" t="s">
        <v>2625</v>
      </c>
      <c r="D3051" s="2" t="str">
        <f>CLEAN("3830-03-01")</f>
        <v>3830-03-01</v>
      </c>
      <c r="E3051" s="3" t="str">
        <f>CLEAN("V BRISTOL MULTI-USE PLANNING STUDY")</f>
        <v>V BRISTOL MULTI-USE PLANNING STUDY</v>
      </c>
      <c r="F3051" s="3" t="str">
        <f>CLEAN("192ND-BRISTOL OAKES-STH 50-144TH")</f>
        <v>192ND-BRISTOL OAKES-STH 50-144TH</v>
      </c>
      <c r="G3051" s="3" t="str">
        <f>CLEAN("PE/BIKE PED TRANSP STUDY")</f>
        <v>PE/BIKE PED TRANSP STUDY</v>
      </c>
      <c r="H3051" s="2" t="str">
        <f>CLEAN("NON HWY")</f>
        <v>NON HWY</v>
      </c>
      <c r="I3051" s="2" t="str">
        <f>CLEAN("290")</f>
        <v>290</v>
      </c>
    </row>
    <row r="3052" spans="1:9" x14ac:dyDescent="0.35">
      <c r="A3052" s="2" t="str">
        <f>CLEAN("KENOSHA")</f>
        <v>KENOSHA</v>
      </c>
      <c r="B3052" s="2" t="str">
        <f>CLEAN("VILLAGE OF BRISTOL")</f>
        <v>VILLAGE OF BRISTOL</v>
      </c>
      <c r="C3052" s="2" t="s">
        <v>2626</v>
      </c>
      <c r="D3052" s="2" t="str">
        <f>CLEAN("3830-04-00")</f>
        <v>3830-04-00</v>
      </c>
      <c r="E3052" s="3" t="str">
        <f>CLEAN("V BRISTOL PEDESTRIAN FACILITY PLAN")</f>
        <v>V BRISTOL PEDESTRIAN FACILITY PLAN</v>
      </c>
      <c r="F3052" s="3" t="str">
        <f>CLEAN("VILLAGE WIDE")</f>
        <v>VILLAGE WIDE</v>
      </c>
      <c r="G3052" s="3" t="str">
        <f>CLEAN("PE/BIKE PED TRANSP STUDY")</f>
        <v>PE/BIKE PED TRANSP STUDY</v>
      </c>
      <c r="H3052" s="2" t="str">
        <f>CLEAN("NON HWY")</f>
        <v>NON HWY</v>
      </c>
      <c r="I3052" s="2" t="str">
        <f>CLEAN("290")</f>
        <v>290</v>
      </c>
    </row>
    <row r="3053" spans="1:9" x14ac:dyDescent="0.35">
      <c r="A3053" s="2" t="str">
        <f>CLEAN("KENOSHA")</f>
        <v>KENOSHA</v>
      </c>
      <c r="B3053" s="2" t="str">
        <f>CLEAN("VILLAGE OF BRISTOL")</f>
        <v>VILLAGE OF BRISTOL</v>
      </c>
      <c r="C3053" s="2" t="s">
        <v>2669</v>
      </c>
      <c r="D3053" s="2" t="str">
        <f>CLEAN("3830-08-00")</f>
        <v>3830-08-00</v>
      </c>
      <c r="E3053" s="3" t="str">
        <f>CLEAN("V BRISTOL  208 210 AVE  124 ST")</f>
        <v>V BRISTOL  208 210 AVE  124 ST</v>
      </c>
      <c r="F3053" s="3" t="str">
        <f>CLEAN("CTH V TO 124TH ST")</f>
        <v>CTH V TO 124TH ST</v>
      </c>
      <c r="G3053" s="3" t="str">
        <f>CLEAN("PE/FULL PS  PVRPLA")</f>
        <v>PE/FULL PS  PVRPLA</v>
      </c>
      <c r="H3053" s="2" t="str">
        <f>CLEAN("LOC STR")</f>
        <v>LOC STR</v>
      </c>
      <c r="I3053" s="2" t="str">
        <f>CLEAN("206")</f>
        <v>206</v>
      </c>
    </row>
    <row r="3054" spans="1:9" x14ac:dyDescent="0.35">
      <c r="A3054" s="2" t="str">
        <f>CLEAN("KENOSHA")</f>
        <v>KENOSHA</v>
      </c>
      <c r="B3054" s="2" t="str">
        <f>CLEAN("VILLAGE OF BRISTOL")</f>
        <v>VILLAGE OF BRISTOL</v>
      </c>
      <c r="C3054" s="2" t="s">
        <v>716</v>
      </c>
      <c r="D3054" s="2" t="str">
        <f>CLEAN("3830-08-70")</f>
        <v>3830-08-70</v>
      </c>
      <c r="E3054" s="3" t="str">
        <f>CLEAN("V BRISTOL  208 210 AVE  124 ST")</f>
        <v>V BRISTOL  208 210 AVE  124 ST</v>
      </c>
      <c r="F3054" s="3" t="str">
        <f>CLEAN("CTH V TO 124TH ST")</f>
        <v>CTH V TO 124TH ST</v>
      </c>
      <c r="G3054" s="3" t="str">
        <f>CLEAN("CONST/PVRPLA")</f>
        <v>CONST/PVRPLA</v>
      </c>
      <c r="H3054" s="2" t="str">
        <f>CLEAN("LOC STR")</f>
        <v>LOC STR</v>
      </c>
      <c r="I3054" s="2" t="str">
        <f>CLEAN("206")</f>
        <v>206</v>
      </c>
    </row>
    <row r="3055" spans="1:9" x14ac:dyDescent="0.35">
      <c r="A3055" s="2" t="str">
        <f>CLEAN("GREEN")</f>
        <v>GREEN</v>
      </c>
      <c r="B3055" s="2" t="str">
        <f>CLEAN("VILLAGE OF BROOKLYN")</f>
        <v>VILLAGE OF BROOKLYN</v>
      </c>
      <c r="C3055" s="2" t="s">
        <v>611</v>
      </c>
      <c r="D3055" s="2" t="str">
        <f>CLEAN("5606-03-70")</f>
        <v>5606-03-70</v>
      </c>
      <c r="E3055" s="3" t="str">
        <f>CLEAN("MT HOREB - BROOKLYN")</f>
        <v>MT HOREB - BROOKLYN</v>
      </c>
      <c r="F3055" s="3" t="str">
        <f>CLEAN("EAST AVENUE TO USH 14")</f>
        <v>EAST AVENUE TO USH 14</v>
      </c>
      <c r="G3055" s="3" t="str">
        <f>CLEAN("CONST/MILL &amp; OVERLAY")</f>
        <v>CONST/MILL &amp; OVERLAY</v>
      </c>
      <c r="H3055" s="2" t="str">
        <f>CLEAN("STH 092")</f>
        <v>STH 092</v>
      </c>
      <c r="I3055" s="2" t="str">
        <f>CLEAN("303")</f>
        <v>303</v>
      </c>
    </row>
    <row r="3056" spans="1:9" x14ac:dyDescent="0.35">
      <c r="A3056" s="2" t="str">
        <f t="shared" ref="A3056:A3061" si="467">CLEAN("MILWAUKEE")</f>
        <v>MILWAUKEE</v>
      </c>
      <c r="B3056" s="2" t="str">
        <f t="shared" ref="B3056:B3061" si="468">CLEAN("VILLAGE OF BROWN DEER")</f>
        <v>VILLAGE OF BROWN DEER</v>
      </c>
      <c r="C3056" s="2" t="s">
        <v>2830</v>
      </c>
      <c r="D3056" s="2" t="str">
        <f>CLEAN("2020-00-01")</f>
        <v>2020-00-01</v>
      </c>
      <c r="E3056" s="3" t="str">
        <f>CLEAN("V BROWN DEER  N 51ST ST")</f>
        <v>V BROWN DEER  N 51ST ST</v>
      </c>
      <c r="F3056" s="3" t="str">
        <f>CLEAN("BRIDGE OVER BEAVER CREEK P-40-0550")</f>
        <v>BRIDGE OVER BEAVER CREEK P-40-0550</v>
      </c>
      <c r="G3056" s="3" t="str">
        <f>CLEAN("PE/FULL PSE/BRIDGE REPLACEMENT")</f>
        <v>PE/FULL PSE/BRIDGE REPLACEMENT</v>
      </c>
      <c r="H3056" s="2" t="str">
        <f>CLEAN("LOC STR")</f>
        <v>LOC STR</v>
      </c>
      <c r="I3056" s="2" t="str">
        <f>CLEAN("205")</f>
        <v>205</v>
      </c>
    </row>
    <row r="3057" spans="1:9" x14ac:dyDescent="0.35">
      <c r="A3057" s="2" t="str">
        <f t="shared" si="467"/>
        <v>MILWAUKEE</v>
      </c>
      <c r="B3057" s="2" t="str">
        <f t="shared" si="468"/>
        <v>VILLAGE OF BROWN DEER</v>
      </c>
      <c r="C3057" s="2" t="s">
        <v>412</v>
      </c>
      <c r="D3057" s="2" t="str">
        <f>CLEAN("2020-00-71")</f>
        <v>2020-00-71</v>
      </c>
      <c r="E3057" s="3" t="str">
        <f>CLEAN("V BROWN DEER - N 51ST ST")</f>
        <v>V BROWN DEER - N 51ST ST</v>
      </c>
      <c r="F3057" s="3" t="str">
        <f>CLEAN("BRIDGE OVER BEAVER CREEK P-40-0550")</f>
        <v>BRIDGE OVER BEAVER CREEK P-40-0550</v>
      </c>
      <c r="G3057" s="3" t="str">
        <f>CLEAN("CONST/BRIDGE REPLACEMENT")</f>
        <v>CONST/BRIDGE REPLACEMENT</v>
      </c>
      <c r="H3057" s="2" t="str">
        <f>CLEAN("LOC STR")</f>
        <v>LOC STR</v>
      </c>
      <c r="I3057" s="2" t="str">
        <f>CLEAN("205")</f>
        <v>205</v>
      </c>
    </row>
    <row r="3058" spans="1:9" x14ac:dyDescent="0.35">
      <c r="A3058" s="2" t="str">
        <f t="shared" si="467"/>
        <v>MILWAUKEE</v>
      </c>
      <c r="B3058" s="2" t="str">
        <f t="shared" si="468"/>
        <v>VILLAGE OF BROWN DEER</v>
      </c>
      <c r="C3058" s="2" t="s">
        <v>1003</v>
      </c>
      <c r="D3058" s="2" t="str">
        <f>CLEAN("2150-00-71")</f>
        <v>2150-00-71</v>
      </c>
      <c r="E3058" s="3" t="str">
        <f>CLEAN("BROWN DEER RD C MILW &amp; V BRWN DEER")</f>
        <v>BROWN DEER RD C MILW &amp; V BRWN DEER</v>
      </c>
      <c r="F3058" s="3" t="str">
        <f>CLEAN("91ST STREET TO DEERBROOK TRAIL")</f>
        <v>91ST STREET TO DEERBROOK TRAIL</v>
      </c>
      <c r="G3058" s="3" t="str">
        <f>CLEAN("CONST/RESURFACING")</f>
        <v>CONST/RESURFACING</v>
      </c>
      <c r="H3058" s="2" t="str">
        <f>CLEAN("STH 100")</f>
        <v>STH 100</v>
      </c>
      <c r="I3058" s="2" t="str">
        <f>CLEAN("303")</f>
        <v>303</v>
      </c>
    </row>
    <row r="3059" spans="1:9" x14ac:dyDescent="0.35">
      <c r="A3059" s="2" t="str">
        <f t="shared" si="467"/>
        <v>MILWAUKEE</v>
      </c>
      <c r="B3059" s="2" t="str">
        <f t="shared" si="468"/>
        <v>VILLAGE OF BROWN DEER</v>
      </c>
      <c r="C3059" s="2" t="s">
        <v>745</v>
      </c>
      <c r="D3059" s="2" t="str">
        <f>CLEAN("2270-04-70")</f>
        <v>2270-04-70</v>
      </c>
      <c r="E3059" s="3" t="str">
        <f>CLEAN("STH 57-VIL BROWN DEER &amp; CITY MEQUON")</f>
        <v>STH 57-VIL BROWN DEER &amp; CITY MEQUON</v>
      </c>
      <c r="F3059" s="3" t="str">
        <f>CLEAN("TEUTONIA AVENUE TO MEQUON ROAD")</f>
        <v>TEUTONIA AVENUE TO MEQUON ROAD</v>
      </c>
      <c r="G3059" s="3" t="str">
        <f>CLEAN("CONST/RECONDITION")</f>
        <v>CONST/RECONDITION</v>
      </c>
      <c r="H3059" s="2" t="str">
        <f>CLEAN("STH 057")</f>
        <v>STH 057</v>
      </c>
      <c r="I3059" s="2" t="str">
        <f>CLEAN("303")</f>
        <v>303</v>
      </c>
    </row>
    <row r="3060" spans="1:9" x14ac:dyDescent="0.35">
      <c r="A3060" s="2" t="str">
        <f t="shared" si="467"/>
        <v>MILWAUKEE</v>
      </c>
      <c r="B3060" s="2" t="str">
        <f t="shared" si="468"/>
        <v>VILLAGE OF BROWN DEER</v>
      </c>
      <c r="C3060" s="2" t="s">
        <v>556</v>
      </c>
      <c r="D3060" s="2" t="str">
        <f>CLEAN("2565-03-73")</f>
        <v>2565-03-73</v>
      </c>
      <c r="E3060" s="3" t="str">
        <f>CLEAN("MILWAUKEE - MEQUON")</f>
        <v>MILWAUKEE - MEQUON</v>
      </c>
      <c r="F3060" s="3" t="str">
        <f>CLEAN("0.1 MI S OF FAIRLANE TO TEUTONIA")</f>
        <v>0.1 MI S OF FAIRLANE TO TEUTONIA</v>
      </c>
      <c r="G3060" s="3" t="str">
        <f>CLEAN("CONST/FULL PS/RSRF 25")</f>
        <v>CONST/FULL PS/RSRF 25</v>
      </c>
      <c r="H3060" s="2" t="str">
        <f>CLEAN("STH 057")</f>
        <v>STH 057</v>
      </c>
      <c r="I3060" s="2" t="str">
        <f>CLEAN("303")</f>
        <v>303</v>
      </c>
    </row>
    <row r="3061" spans="1:9" x14ac:dyDescent="0.35">
      <c r="A3061" s="2" t="str">
        <f t="shared" si="467"/>
        <v>MILWAUKEE</v>
      </c>
      <c r="B3061" s="2" t="str">
        <f t="shared" si="468"/>
        <v>VILLAGE OF BROWN DEER</v>
      </c>
      <c r="C3061" s="2" t="s">
        <v>785</v>
      </c>
      <c r="D3061" s="2" t="str">
        <f>CLEAN("2565-07-70")</f>
        <v>2565-07-70</v>
      </c>
      <c r="E3061" s="3" t="str">
        <f>CLEAN("GREEN BAY RD  VILLAGE BROWN DEER")</f>
        <v>GREEN BAY RD  VILLAGE BROWN DEER</v>
      </c>
      <c r="F3061" s="3" t="str">
        <f>CLEAN("TEUTONIA AVE INTERSECTION")</f>
        <v>TEUTONIA AVE INTERSECTION</v>
      </c>
      <c r="G3061" s="3" t="str">
        <f>CLEAN("CONST/RECONSTRUCT  NO ADDL LANES")</f>
        <v>CONST/RECONSTRUCT  NO ADDL LANES</v>
      </c>
      <c r="H3061" s="2" t="str">
        <f>CLEAN("STH 057")</f>
        <v>STH 057</v>
      </c>
      <c r="I3061" s="2" t="str">
        <f>CLEAN("303")</f>
        <v>303</v>
      </c>
    </row>
    <row r="3062" spans="1:9" x14ac:dyDescent="0.35">
      <c r="A3062" s="2" t="str">
        <f>CLEAN("ASHLAND")</f>
        <v>ASHLAND</v>
      </c>
      <c r="B3062" s="2" t="str">
        <f>CLEAN("VILLAGE OF BUTTERNUT")</f>
        <v>VILLAGE OF BUTTERNUT</v>
      </c>
      <c r="C3062" s="2" t="s">
        <v>2335</v>
      </c>
      <c r="D3062" s="2" t="str">
        <f>CLEAN("1610-01-14")</f>
        <v>1610-01-14</v>
      </c>
      <c r="E3062" s="3" t="str">
        <f>CLEAN("PARK FALLS - MELLEN")</f>
        <v>PARK FALLS - MELLEN</v>
      </c>
      <c r="F3062" s="3" t="str">
        <f>CLEAN("4TH ST TO IOWA ST")</f>
        <v>4TH ST TO IOWA ST</v>
      </c>
      <c r="G3062" s="3" t="str">
        <f>CLEAN("DESIGN-FULL PS&amp;E/PVRPLA")</f>
        <v>DESIGN-FULL PS&amp;E/PVRPLA</v>
      </c>
      <c r="H3062" s="2" t="str">
        <f>CLEAN("STH 013")</f>
        <v>STH 013</v>
      </c>
      <c r="I3062" s="2" t="str">
        <f>CLEAN("303")</f>
        <v>303</v>
      </c>
    </row>
    <row r="3063" spans="1:9" x14ac:dyDescent="0.35">
      <c r="A3063" s="2" t="str">
        <f>CLEAN("CHIPPEWA")</f>
        <v>CHIPPEWA</v>
      </c>
      <c r="B3063" s="2" t="str">
        <f>CLEAN("VILLAGE OF CADOTT")</f>
        <v>VILLAGE OF CADOTT</v>
      </c>
      <c r="C3063" s="2" t="s">
        <v>1638</v>
      </c>
      <c r="D3063" s="2" t="str">
        <f>CLEAN("8919-00-00")</f>
        <v>8919-00-00</v>
      </c>
      <c r="E3063" s="3" t="str">
        <f>CLEAN("V CADOTT  VARIOUS STREETS")</f>
        <v>V CADOTT  VARIOUS STREETS</v>
      </c>
      <c r="F3063" s="3" t="str">
        <f>CLEAN("TOWER DR TERMINUS TO STH 27")</f>
        <v>TOWER DR TERMINUS TO STH 27</v>
      </c>
      <c r="G3063" s="3" t="str">
        <f>CLEAN("DESIGN - FULL PS&amp;E/PVRPLA")</f>
        <v>DESIGN - FULL PS&amp;E/PVRPLA</v>
      </c>
      <c r="H3063" s="2" t="str">
        <f>CLEAN("LOC STR")</f>
        <v>LOC STR</v>
      </c>
      <c r="I3063" s="2" t="str">
        <f>CLEAN("206")</f>
        <v>206</v>
      </c>
    </row>
    <row r="3064" spans="1:9" x14ac:dyDescent="0.35">
      <c r="A3064" s="2" t="str">
        <f>CLEAN("RACINE")</f>
        <v>RACINE</v>
      </c>
      <c r="B3064" s="2" t="str">
        <f>CLEAN("VILLAGE OF CALEDONIA")</f>
        <v>VILLAGE OF CALEDONIA</v>
      </c>
      <c r="C3064" s="2" t="s">
        <v>422</v>
      </c>
      <c r="D3064" s="2" t="str">
        <f>CLEAN("2703-00-73")</f>
        <v>2703-00-73</v>
      </c>
      <c r="E3064" s="3" t="str">
        <f>CLEAN("HOODS CREEK ROAD")</f>
        <v>HOODS CREEK ROAD</v>
      </c>
      <c r="F3064" s="3" t="str">
        <f>CLEAN("BRIDGE OVER HOODS CREEK P-51-0904")</f>
        <v>BRIDGE OVER HOODS CREEK P-51-0904</v>
      </c>
      <c r="G3064" s="3" t="str">
        <f>CLEAN("CONST/BRIDGE REPLACEMENT")</f>
        <v>CONST/BRIDGE REPLACEMENT</v>
      </c>
      <c r="H3064" s="2" t="str">
        <f>CLEAN("LOC STR")</f>
        <v>LOC STR</v>
      </c>
      <c r="I3064" s="2" t="str">
        <f>CLEAN("205")</f>
        <v>205</v>
      </c>
    </row>
    <row r="3065" spans="1:9" x14ac:dyDescent="0.35">
      <c r="A3065" s="2" t="str">
        <f>CLEAN("BARRON")</f>
        <v>BARRON</v>
      </c>
      <c r="B3065" s="2" t="str">
        <f>CLEAN("VILLAGE OF CAMERON")</f>
        <v>VILLAGE OF CAMERON</v>
      </c>
      <c r="C3065" s="2" t="s">
        <v>1630</v>
      </c>
      <c r="D3065" s="2" t="str">
        <f>CLEAN("1580-00-02")</f>
        <v>1580-00-02</v>
      </c>
      <c r="E3065" s="3" t="str">
        <f>CLEAN("CAMERON - LADYSMITH")</f>
        <v>CAMERON - LADYSMITH</v>
      </c>
      <c r="F3065" s="3" t="str">
        <f>CLEAN("CTH SS S TO 480' EAST OF CTH SS N")</f>
        <v>CTH SS S TO 480' EAST OF CTH SS N</v>
      </c>
      <c r="G3065" s="3" t="str">
        <f>CLEAN("DESIGN - FULL PS&amp;E/PVRPLA")</f>
        <v>DESIGN - FULL PS&amp;E/PVRPLA</v>
      </c>
      <c r="H3065" s="2" t="str">
        <f>CLEAN("USH 008")</f>
        <v>USH 008</v>
      </c>
      <c r="I3065" s="2" t="str">
        <f t="shared" ref="I3065:I3070" si="469">CLEAN("303")</f>
        <v>303</v>
      </c>
    </row>
    <row r="3066" spans="1:9" x14ac:dyDescent="0.35">
      <c r="A3066" s="2" t="str">
        <f>CLEAN("BARRON")</f>
        <v>BARRON</v>
      </c>
      <c r="B3066" s="2" t="str">
        <f>CLEAN("VILLAGE OF CAMERON")</f>
        <v>VILLAGE OF CAMERON</v>
      </c>
      <c r="C3066" s="2" t="s">
        <v>3162</v>
      </c>
      <c r="D3066" s="2" t="str">
        <f>CLEAN("1580-00-22")</f>
        <v>1580-00-22</v>
      </c>
      <c r="E3066" s="3" t="str">
        <f>CLEAN("CAMERON - LADYSMITH")</f>
        <v>CAMERON - LADYSMITH</v>
      </c>
      <c r="F3066" s="3" t="str">
        <f>CLEAN("CTH SS S TO 480' EAST OF CTH SS N")</f>
        <v>CTH SS S TO 480' EAST OF CTH SS N</v>
      </c>
      <c r="G3066" s="3" t="str">
        <f>CLEAN("REAL ESTATE ACQUISITION")</f>
        <v>REAL ESTATE ACQUISITION</v>
      </c>
      <c r="H3066" s="2" t="str">
        <f>CLEAN("USH 008")</f>
        <v>USH 008</v>
      </c>
      <c r="I3066" s="2" t="str">
        <f t="shared" si="469"/>
        <v>303</v>
      </c>
    </row>
    <row r="3067" spans="1:9" x14ac:dyDescent="0.35">
      <c r="A3067" s="2" t="str">
        <f>CLEAN("SHEBOYGAN")</f>
        <v>SHEBOYGAN</v>
      </c>
      <c r="B3067" s="2" t="str">
        <f>CLEAN("VILLAGE OF CASCADE")</f>
        <v>VILLAGE OF CASCADE</v>
      </c>
      <c r="C3067" s="2" t="s">
        <v>308</v>
      </c>
      <c r="D3067" s="2" t="str">
        <f>CLEAN("4010-21-71")</f>
        <v>4010-21-71</v>
      </c>
      <c r="E3067" s="3" t="str">
        <f>CLEAN("KEWASKUM-WALDO")</f>
        <v>KEWASKUM-WALDO</v>
      </c>
      <c r="F3067" s="3" t="str">
        <f>CLEAN("SCL-STH 57")</f>
        <v>SCL-STH 57</v>
      </c>
      <c r="G3067" s="3" t="str">
        <f>CLEAN("CONST OPS/RSRF30")</f>
        <v>CONST OPS/RSRF30</v>
      </c>
      <c r="H3067" s="2" t="str">
        <f>CLEAN("STH 028")</f>
        <v>STH 028</v>
      </c>
      <c r="I3067" s="2" t="str">
        <f t="shared" si="469"/>
        <v>303</v>
      </c>
    </row>
    <row r="3068" spans="1:9" x14ac:dyDescent="0.35">
      <c r="A3068" s="2" t="str">
        <f>CLEAN("SHEBOYGAN")</f>
        <v>SHEBOYGAN</v>
      </c>
      <c r="B3068" s="2" t="str">
        <f>CLEAN("VILLAGE OF CASCADE")</f>
        <v>VILLAGE OF CASCADE</v>
      </c>
      <c r="C3068" s="2" t="s">
        <v>148</v>
      </c>
      <c r="D3068" s="2" t="str">
        <f>CLEAN("4010-26-71")</f>
        <v>4010-26-71</v>
      </c>
      <c r="E3068" s="3" t="str">
        <f>CLEAN("V. OF CASCADE  N. BRANCH MIL RIVER")</f>
        <v>V. OF CASCADE  N. BRANCH MIL RIVER</v>
      </c>
      <c r="F3068" s="3" t="str">
        <f>CLEAN("BRANCH MILWAUKEE RIVER BRIDGE")</f>
        <v>BRANCH MILWAUKEE RIVER BRIDGE</v>
      </c>
      <c r="G3068" s="3" t="str">
        <f>CLEAN("CONST OPS/BRRPL B-05-0321")</f>
        <v>CONST OPS/BRRPL B-05-0321</v>
      </c>
      <c r="H3068" s="2" t="str">
        <f>CLEAN("STH 028")</f>
        <v>STH 028</v>
      </c>
      <c r="I3068" s="2" t="str">
        <f t="shared" si="469"/>
        <v>303</v>
      </c>
    </row>
    <row r="3069" spans="1:9" x14ac:dyDescent="0.35">
      <c r="A3069" s="2" t="str">
        <f>CLEAN("SAUK")</f>
        <v>SAUK</v>
      </c>
      <c r="B3069" s="2" t="str">
        <f>CLEAN("VILLAGE OF CAZENOVIA")</f>
        <v>VILLAGE OF CAZENOVIA</v>
      </c>
      <c r="C3069" s="2" t="s">
        <v>336</v>
      </c>
      <c r="D3069" s="2" t="str">
        <f>CLEAN("5752-00-72")</f>
        <v>5752-00-72</v>
      </c>
      <c r="E3069" s="3" t="str">
        <f>CLEAN("USH 14 - LAVALLE")</f>
        <v>USH 14 - LAVALLE</v>
      </c>
      <c r="F3069" s="3" t="str">
        <f>CLEAN("LEE LAKE BRIDGE TO STH 33")</f>
        <v>LEE LAKE BRIDGE TO STH 33</v>
      </c>
      <c r="G3069" s="3" t="str">
        <f>CLEAN("CONST/ MILL AND OVERLAY")</f>
        <v>CONST/ MILL AND OVERLAY</v>
      </c>
      <c r="H3069" s="2" t="str">
        <f>CLEAN("STH 058")</f>
        <v>STH 058</v>
      </c>
      <c r="I3069" s="2" t="str">
        <f t="shared" si="469"/>
        <v>303</v>
      </c>
    </row>
    <row r="3070" spans="1:9" x14ac:dyDescent="0.35">
      <c r="A3070" s="2" t="str">
        <f>CLEAN("SHEBOYGAN")</f>
        <v>SHEBOYGAN</v>
      </c>
      <c r="B3070" s="2" t="str">
        <f>CLEAN("VILLAGE OF CEDAR GROVE")</f>
        <v>VILLAGE OF CEDAR GROVE</v>
      </c>
      <c r="C3070" s="2" t="s">
        <v>299</v>
      </c>
      <c r="D3070" s="2" t="str">
        <f>CLEAN("4540-36-71")</f>
        <v>4540-36-71</v>
      </c>
      <c r="E3070" s="3" t="str">
        <f>CLEAN("CEDAR GROVE-SHEBOYGAN FALLS")</f>
        <v>CEDAR GROVE-SHEBOYGAN FALLS</v>
      </c>
      <c r="F3070" s="3" t="str">
        <f>CLEAN("CTH D-STH 28")</f>
        <v>CTH D-STH 28</v>
      </c>
      <c r="G3070" s="3" t="str">
        <f>CLEAN("CONST OPS/RSRF10")</f>
        <v>CONST OPS/RSRF10</v>
      </c>
      <c r="H3070" s="2" t="str">
        <f>CLEAN("STH 032")</f>
        <v>STH 032</v>
      </c>
      <c r="I3070" s="2" t="str">
        <f t="shared" si="469"/>
        <v>303</v>
      </c>
    </row>
    <row r="3071" spans="1:9" x14ac:dyDescent="0.35">
      <c r="A3071" s="2" t="str">
        <f>CLEAN("POLK")</f>
        <v>POLK</v>
      </c>
      <c r="B3071" s="2" t="str">
        <f>CLEAN("VILLAGE OF CLEAR LAKE")</f>
        <v>VILLAGE OF CLEAR LAKE</v>
      </c>
      <c r="C3071" s="2" t="s">
        <v>1284</v>
      </c>
      <c r="D3071" s="2" t="str">
        <f>CLEAN("8405-00-70")</f>
        <v>8405-00-70</v>
      </c>
      <c r="E3071" s="3" t="str">
        <f>CLEAN("V CLEAR LAKE ADVANCE FOOD PRODUCTS")</f>
        <v>V CLEAR LAKE ADVANCE FOOD PRODUCTS</v>
      </c>
      <c r="F3071" s="3" t="str">
        <f>CLEAN("DEPOSITION DRIVE EXTENSION")</f>
        <v>DEPOSITION DRIVE EXTENSION</v>
      </c>
      <c r="G3071" s="3" t="str">
        <f>CLEAN("CONSTRUCTION/LLC/TEA")</f>
        <v>CONSTRUCTION/LLC/TEA</v>
      </c>
      <c r="H3071" s="2" t="str">
        <f>CLEAN("TWN RD")</f>
        <v>TWN RD</v>
      </c>
      <c r="I3071" s="2" t="str">
        <f>CLEAN("209")</f>
        <v>209</v>
      </c>
    </row>
    <row r="3072" spans="1:9" x14ac:dyDescent="0.35">
      <c r="A3072" s="2" t="str">
        <f>CLEAN("IOWA")</f>
        <v>IOWA</v>
      </c>
      <c r="B3072" s="2" t="str">
        <f>CLEAN("VILLAGE OF COBB")</f>
        <v>VILLAGE OF COBB</v>
      </c>
      <c r="C3072" s="2" t="s">
        <v>342</v>
      </c>
      <c r="D3072" s="2" t="str">
        <f>CLEAN("5939-00-70")</f>
        <v>5939-00-70</v>
      </c>
      <c r="E3072" s="3" t="str">
        <f>CLEAN("COBB - AVOCA")</f>
        <v>COBB - AVOCA</v>
      </c>
      <c r="F3072" s="3" t="str">
        <f>CLEAN("USH 18 TO KENNEDY STREET")</f>
        <v>USH 18 TO KENNEDY STREET</v>
      </c>
      <c r="G3072" s="3" t="str">
        <f>CLEAN("CONST/ MILL AND OVERLAY")</f>
        <v>CONST/ MILL AND OVERLAY</v>
      </c>
      <c r="H3072" s="2" t="str">
        <f>CLEAN("STH 080")</f>
        <v>STH 080</v>
      </c>
      <c r="I3072" s="2" t="str">
        <f>CLEAN("303")</f>
        <v>303</v>
      </c>
    </row>
    <row r="3073" spans="1:9" x14ac:dyDescent="0.35">
      <c r="A3073" s="2" t="str">
        <f>CLEAN("DUNN")</f>
        <v>DUNN</v>
      </c>
      <c r="B3073" s="2" t="str">
        <f>CLEAN("VILLAGE OF COLFAX")</f>
        <v>VILLAGE OF COLFAX</v>
      </c>
      <c r="C3073" s="2" t="s">
        <v>1370</v>
      </c>
      <c r="D3073" s="2" t="str">
        <f>CLEAN("8620-00-75")</f>
        <v>8620-00-75</v>
      </c>
      <c r="E3073" s="3" t="str">
        <f>CLEAN("ELK MOUND - BLOOMER")</f>
        <v>ELK MOUND - BLOOMER</v>
      </c>
      <c r="F3073" s="3" t="str">
        <f>CLEAN("USH 12 TO CTH M")</f>
        <v>USH 12 TO CTH M</v>
      </c>
      <c r="G3073" s="3" t="str">
        <f>CLEAN("CONSTRUCTION/RSRF20")</f>
        <v>CONSTRUCTION/RSRF20</v>
      </c>
      <c r="H3073" s="2" t="str">
        <f>CLEAN("STH 040")</f>
        <v>STH 040</v>
      </c>
      <c r="I3073" s="2" t="str">
        <f>CLEAN("303")</f>
        <v>303</v>
      </c>
    </row>
    <row r="3074" spans="1:9" x14ac:dyDescent="0.35">
      <c r="A3074" s="2" t="str">
        <f>CLEAN("VERNON")</f>
        <v>VERNON</v>
      </c>
      <c r="B3074" s="2" t="str">
        <f>CLEAN("VILLAGE OF COON VALLEY")</f>
        <v>VILLAGE OF COON VALLEY</v>
      </c>
      <c r="C3074" s="2" t="s">
        <v>1389</v>
      </c>
      <c r="D3074" s="2" t="str">
        <f>CLEAN("5378-01-02")</f>
        <v>5378-01-02</v>
      </c>
      <c r="E3074" s="3" t="str">
        <f>CLEAN("V COON VALLEY  XWALK WARNING SYSTEM")</f>
        <v>V COON VALLEY  XWALK WARNING SYSTEM</v>
      </c>
      <c r="F3074" s="3" t="str">
        <f>CLEAN("V COON VALLEY  USH 14")</f>
        <v>V COON VALLEY  USH 14</v>
      </c>
      <c r="G3074" s="3" t="str">
        <f>CLEAN("CROSSWALK WARNING SYSTEM")</f>
        <v>CROSSWALK WARNING SYSTEM</v>
      </c>
      <c r="H3074" s="2" t="str">
        <f>CLEAN("USH 014")</f>
        <v>USH 014</v>
      </c>
      <c r="I3074" s="2" t="str">
        <f>CLEAN("290")</f>
        <v>290</v>
      </c>
    </row>
    <row r="3075" spans="1:9" x14ac:dyDescent="0.35">
      <c r="A3075" s="2" t="str">
        <f>CLEAN("VERNON")</f>
        <v>VERNON</v>
      </c>
      <c r="B3075" s="2" t="str">
        <f>CLEAN("VILLAGE OF COON VALLEY")</f>
        <v>VILLAGE OF COON VALLEY</v>
      </c>
      <c r="C3075" s="2" t="s">
        <v>3132</v>
      </c>
      <c r="D3075" s="2" t="str">
        <f>CLEAN("1640-03-24")</f>
        <v>1640-03-24</v>
      </c>
      <c r="E3075" s="3" t="str">
        <f>CLEAN("LA CROSSE - WESTBY")</f>
        <v>LA CROSSE - WESTBY</v>
      </c>
      <c r="F3075" s="3" t="str">
        <f>CLEAN("S JCT STH 162 TO CHURCH STREET")</f>
        <v>S JCT STH 162 TO CHURCH STREET</v>
      </c>
      <c r="G3075" s="3" t="str">
        <f>CLEAN("RE OPS/ 1640-03-74/ PVRPLA")</f>
        <v>RE OPS/ 1640-03-74/ PVRPLA</v>
      </c>
      <c r="H3075" s="2" t="str">
        <f>CLEAN("USH 014")</f>
        <v>USH 014</v>
      </c>
      <c r="I3075" s="2" t="str">
        <f>CLEAN("303")</f>
        <v>303</v>
      </c>
    </row>
    <row r="3076" spans="1:9" x14ac:dyDescent="0.35">
      <c r="A3076" s="2" t="str">
        <f>CLEAN("DANE")</f>
        <v>DANE</v>
      </c>
      <c r="B3076" s="2" t="str">
        <f>CLEAN("VILLAGE OF COTTAGE GROVE")</f>
        <v>VILLAGE OF COTTAGE GROVE</v>
      </c>
      <c r="C3076" s="2" t="s">
        <v>207</v>
      </c>
      <c r="D3076" s="2" t="str">
        <f>CLEAN("3625-00-05")</f>
        <v>3625-00-05</v>
      </c>
      <c r="E3076" s="3" t="str">
        <f>CLEAN("COTTAGE GROVE GLACIAL DRUMLIN TRAIL")</f>
        <v>COTTAGE GROVE GLACIAL DRUMLIN TRAIL</v>
      </c>
      <c r="F3076" s="3" t="str">
        <f>CLEAN("VILAS ROAD TO MAIN STREET")</f>
        <v>VILAS ROAD TO MAIN STREET</v>
      </c>
      <c r="G3076" s="3" t="str">
        <f>CLEAN("CONST OPS/PEDESTRIAN-BICYCLE TRAIL")</f>
        <v>CONST OPS/PEDESTRIAN-BICYCLE TRAIL</v>
      </c>
      <c r="H3076" s="2" t="str">
        <f>CLEAN("NON HWY")</f>
        <v>NON HWY</v>
      </c>
      <c r="I3076" s="2" t="str">
        <f>CLEAN("290")</f>
        <v>290</v>
      </c>
    </row>
    <row r="3077" spans="1:9" x14ac:dyDescent="0.35">
      <c r="A3077" s="2" t="str">
        <f>CLEAN("DANE")</f>
        <v>DANE</v>
      </c>
      <c r="B3077" s="2" t="str">
        <f>CLEAN("VILLAGE OF DANE")</f>
        <v>VILLAGE OF DANE</v>
      </c>
      <c r="C3077" s="2" t="s">
        <v>675</v>
      </c>
      <c r="D3077" s="2" t="str">
        <f>CLEAN("5280-03-71")</f>
        <v>5280-03-71</v>
      </c>
      <c r="E3077" s="3" t="str">
        <f>CLEAN("MADISON - LODI")</f>
        <v>MADISON - LODI</v>
      </c>
      <c r="F3077" s="3" t="str">
        <f>CLEAN("CTH V TO CTH P")</f>
        <v>CTH V TO CTH P</v>
      </c>
      <c r="G3077" s="3" t="str">
        <f>CLEAN("CONST/PAV'T REPLACEMENT/PVRPLA")</f>
        <v>CONST/PAV'T REPLACEMENT/PVRPLA</v>
      </c>
      <c r="H3077" s="2" t="str">
        <f>CLEAN("STH 113")</f>
        <v>STH 113</v>
      </c>
      <c r="I3077" s="2" t="str">
        <f>CLEAN("303")</f>
        <v>303</v>
      </c>
    </row>
    <row r="3078" spans="1:9" x14ac:dyDescent="0.35">
      <c r="A3078" s="2" t="str">
        <f>CLEAN("DANE")</f>
        <v>DANE</v>
      </c>
      <c r="B3078" s="2" t="str">
        <f>CLEAN("VILLAGE OF DANE")</f>
        <v>VILLAGE OF DANE</v>
      </c>
      <c r="C3078" s="2" t="s">
        <v>1095</v>
      </c>
      <c r="D3078" s="2" t="str">
        <f>CLEAN("5280-03-72")</f>
        <v>5280-03-72</v>
      </c>
      <c r="E3078" s="3" t="str">
        <f>CLEAN("MADISON - LODI")</f>
        <v>MADISON - LODI</v>
      </c>
      <c r="F3078" s="3" t="str">
        <f>CLEAN("CTH V TO CTH P")</f>
        <v>CTH V TO CTH P</v>
      </c>
      <c r="G3078" s="3" t="str">
        <f>CLEAN("CONST/WATER &amp; SANITARY SEWER/PVRPLA")</f>
        <v>CONST/WATER &amp; SANITARY SEWER/PVRPLA</v>
      </c>
      <c r="H3078" s="2" t="str">
        <f>CLEAN("STH 113")</f>
        <v>STH 113</v>
      </c>
      <c r="I3078" s="2" t="str">
        <f>CLEAN("303")</f>
        <v>303</v>
      </c>
    </row>
    <row r="3079" spans="1:9" x14ac:dyDescent="0.35">
      <c r="A3079" s="2" t="str">
        <f>CLEAN("VERNON")</f>
        <v>VERNON</v>
      </c>
      <c r="B3079" s="2" t="str">
        <f>CLEAN("VILLAGE OF DE SOTO")</f>
        <v>VILLAGE OF DE SOTO</v>
      </c>
      <c r="C3079" s="2" t="s">
        <v>3086</v>
      </c>
      <c r="D3079" s="2" t="str">
        <f>CLEAN("5150-00-00")</f>
        <v>5150-00-00</v>
      </c>
      <c r="E3079" s="3" t="str">
        <f>CLEAN("V DE SOTO  MULTI-USE PATH")</f>
        <v>V DE SOTO  MULTI-USE PATH</v>
      </c>
      <c r="F3079" s="3" t="str">
        <f>CLEAN("LOFTUS STREET TO NE VILLAGE LIMIT")</f>
        <v>LOFTUS STREET TO NE VILLAGE LIMIT</v>
      </c>
      <c r="G3079" s="3" t="str">
        <f>CLEAN("PRELIMINARY/FINAL ENGINEERING")</f>
        <v>PRELIMINARY/FINAL ENGINEERING</v>
      </c>
      <c r="H3079" s="2" t="str">
        <f>CLEAN("NON HWY")</f>
        <v>NON HWY</v>
      </c>
      <c r="I3079" s="2" t="str">
        <f>CLEAN("290")</f>
        <v>290</v>
      </c>
    </row>
    <row r="3080" spans="1:9" x14ac:dyDescent="0.35">
      <c r="A3080" s="2" t="str">
        <f>CLEAN("VERNON")</f>
        <v>VERNON</v>
      </c>
      <c r="B3080" s="2" t="str">
        <f>CLEAN("VILLAGE OF DE SOTO")</f>
        <v>VILLAGE OF DE SOTO</v>
      </c>
      <c r="C3080" s="2" t="s">
        <v>613</v>
      </c>
      <c r="D3080" s="2" t="str">
        <f>CLEAN("5150-02-70")</f>
        <v>5150-02-70</v>
      </c>
      <c r="E3080" s="3" t="str">
        <f>CLEAN("DESOTO - VIROQUA")</f>
        <v>DESOTO - VIROQUA</v>
      </c>
      <c r="F3080" s="3" t="str">
        <f>CLEAN("STH 35 TO STH 27")</f>
        <v>STH 35 TO STH 27</v>
      </c>
      <c r="G3080" s="3" t="str">
        <f>CLEAN("CONST/MILL &amp; OVERLAY/RSRF")</f>
        <v>CONST/MILL &amp; OVERLAY/RSRF</v>
      </c>
      <c r="H3080" s="2" t="str">
        <f>CLEAN("STH 082")</f>
        <v>STH 082</v>
      </c>
      <c r="I3080" s="2" t="str">
        <f>CLEAN("303")</f>
        <v>303</v>
      </c>
    </row>
    <row r="3081" spans="1:9" x14ac:dyDescent="0.35">
      <c r="A3081" s="2" t="str">
        <f t="shared" ref="A3081:A3090" si="470">CLEAN("DANE")</f>
        <v>DANE</v>
      </c>
      <c r="B3081" s="2" t="str">
        <f>CLEAN("VILLAGE OF DEERFIELD")</f>
        <v>VILLAGE OF DEERFIELD</v>
      </c>
      <c r="C3081" s="2" t="s">
        <v>608</v>
      </c>
      <c r="D3081" s="2" t="str">
        <f>CLEAN("3070-04-60")</f>
        <v>3070-04-60</v>
      </c>
      <c r="E3081" s="3" t="str">
        <f>CLEAN("I39 - COLUMBUS")</f>
        <v>I39 - COLUMBUS</v>
      </c>
      <c r="F3081" s="3" t="str">
        <f>CLEAN("SHAUL LANE TO NORTH STREET")</f>
        <v>SHAUL LANE TO NORTH STREET</v>
      </c>
      <c r="G3081" s="3" t="str">
        <f>CLEAN("CONST/MILL &amp; O'LAY/RSRF")</f>
        <v>CONST/MILL &amp; O'LAY/RSRF</v>
      </c>
      <c r="H3081" s="2" t="str">
        <f>CLEAN("STH 073")</f>
        <v>STH 073</v>
      </c>
      <c r="I3081" s="2" t="str">
        <f>CLEAN("303")</f>
        <v>303</v>
      </c>
    </row>
    <row r="3082" spans="1:9" x14ac:dyDescent="0.35">
      <c r="A3082" s="2" t="str">
        <f t="shared" si="470"/>
        <v>DANE</v>
      </c>
      <c r="B3082" s="2" t="str">
        <f t="shared" ref="B3082:B3090" si="471">CLEAN("VILLAGE OF DEFOREST")</f>
        <v>VILLAGE OF DEFOREST</v>
      </c>
      <c r="C3082" s="2" t="s">
        <v>3180</v>
      </c>
      <c r="D3082" s="2" t="str">
        <f>CLEAN("3665-00-71")</f>
        <v>3665-00-71</v>
      </c>
      <c r="E3082" s="3" t="str">
        <f>CLEAN("V DEFOREST  KWIK TRIP")</f>
        <v>V DEFOREST  KWIK TRIP</v>
      </c>
      <c r="F3082" s="3" t="str">
        <f>CLEAN("PEPSI WAY TO USH 51")</f>
        <v>PEPSI WAY TO USH 51</v>
      </c>
      <c r="G3082" s="3" t="str">
        <f>CLEAN("ROADWAY IMPROVEMENTS/LLC/TEA")</f>
        <v>ROADWAY IMPROVEMENTS/LLC/TEA</v>
      </c>
      <c r="H3082" s="2" t="str">
        <f>CLEAN("LOC STR")</f>
        <v>LOC STR</v>
      </c>
      <c r="I3082" s="2" t="str">
        <f>CLEAN("209")</f>
        <v>209</v>
      </c>
    </row>
    <row r="3083" spans="1:9" x14ac:dyDescent="0.35">
      <c r="A3083" s="2" t="str">
        <f t="shared" si="470"/>
        <v>DANE</v>
      </c>
      <c r="B3083" s="2" t="str">
        <f t="shared" si="471"/>
        <v>VILLAGE OF DEFOREST</v>
      </c>
      <c r="C3083" s="2" t="s">
        <v>2930</v>
      </c>
      <c r="D3083" s="2" t="str">
        <f>CLEAN("6218-00-07")</f>
        <v>6218-00-07</v>
      </c>
      <c r="E3083" s="3" t="str">
        <f>CLEAN("V DEFOREST  CTH V PATH")</f>
        <v>V DEFOREST  CTH V PATH</v>
      </c>
      <c r="F3083" s="3" t="str">
        <f>CLEAN("N. MAIN ST. TO STOKELY DRIVE")</f>
        <v>N. MAIN ST. TO STOKELY DRIVE</v>
      </c>
      <c r="G3083" s="3" t="str">
        <f>CLEAN("PE/PLAN CHECK REVIEW/PED PATH")</f>
        <v>PE/PLAN CHECK REVIEW/PED PATH</v>
      </c>
      <c r="H3083" s="2" t="str">
        <f>CLEAN("NON HWY")</f>
        <v>NON HWY</v>
      </c>
      <c r="I3083" s="2" t="str">
        <f>CLEAN("290")</f>
        <v>290</v>
      </c>
    </row>
    <row r="3084" spans="1:9" x14ac:dyDescent="0.35">
      <c r="A3084" s="2" t="str">
        <f t="shared" si="470"/>
        <v>DANE</v>
      </c>
      <c r="B3084" s="2" t="str">
        <f t="shared" si="471"/>
        <v>VILLAGE OF DEFOREST</v>
      </c>
      <c r="C3084" s="2" t="s">
        <v>2122</v>
      </c>
      <c r="D3084" s="2" t="str">
        <f>CLEAN("6218-00-08")</f>
        <v>6218-00-08</v>
      </c>
      <c r="E3084" s="3" t="str">
        <f>CLEAN("V DEFOREST  CTH V PATH")</f>
        <v>V DEFOREST  CTH V PATH</v>
      </c>
      <c r="F3084" s="3" t="str">
        <f>CLEAN("RIVER ROAD TO N. MAIN STREET")</f>
        <v>RIVER ROAD TO N. MAIN STREET</v>
      </c>
      <c r="G3084" s="3" t="str">
        <f>CLEAN("DESIGN/PLAN CHECK REVIEW/PATH")</f>
        <v>DESIGN/PLAN CHECK REVIEW/PATH</v>
      </c>
      <c r="H3084" s="2" t="str">
        <f>CLEAN("CTH V")</f>
        <v>CTH V</v>
      </c>
      <c r="I3084" s="2" t="str">
        <f>CLEAN("206")</f>
        <v>206</v>
      </c>
    </row>
    <row r="3085" spans="1:9" x14ac:dyDescent="0.35">
      <c r="A3085" s="2" t="str">
        <f t="shared" si="470"/>
        <v>DANE</v>
      </c>
      <c r="B3085" s="2" t="str">
        <f t="shared" si="471"/>
        <v>VILLAGE OF DEFOREST</v>
      </c>
      <c r="C3085" s="2" t="s">
        <v>2339</v>
      </c>
      <c r="D3085" s="2" t="str">
        <f>CLEAN("6992-00-06")</f>
        <v>6992-00-06</v>
      </c>
      <c r="E3085" s="3" t="str">
        <f>CLEAN("V DEFOREST  NORTH TOWNE ROAD")</f>
        <v>V DEFOREST  NORTH TOWNE ROAD</v>
      </c>
      <c r="F3085" s="3" t="str">
        <f>CLEAN("VINBURN ROAD INTERSECTION")</f>
        <v>VINBURN ROAD INTERSECTION</v>
      </c>
      <c r="G3085" s="3" t="str">
        <f>CLEAN("DESIGN-SIGNALS/LT TN/FULL PS&amp;E MISC")</f>
        <v>DESIGN-SIGNALS/LT TN/FULL PS&amp;E MISC</v>
      </c>
      <c r="H3085" s="2" t="str">
        <f>CLEAN("LOC STR")</f>
        <v>LOC STR</v>
      </c>
      <c r="I3085" s="2" t="str">
        <f>CLEAN("206")</f>
        <v>206</v>
      </c>
    </row>
    <row r="3086" spans="1:9" x14ac:dyDescent="0.35">
      <c r="A3086" s="2" t="str">
        <f t="shared" si="470"/>
        <v>DANE</v>
      </c>
      <c r="B3086" s="2" t="str">
        <f t="shared" si="471"/>
        <v>VILLAGE OF DEFOREST</v>
      </c>
      <c r="C3086" s="2" t="s">
        <v>2065</v>
      </c>
      <c r="D3086" s="2" t="str">
        <f>CLEAN("6992-00-10")</f>
        <v>6992-00-10</v>
      </c>
      <c r="E3086" s="3" t="str">
        <f>CLEAN("V DEFOREST  MULTI-USE PATH")</f>
        <v>V DEFOREST  MULTI-USE PATH</v>
      </c>
      <c r="F3086" s="3" t="str">
        <f>CLEAN("VARIOUS VILLAGE LOCATIONS")</f>
        <v>VARIOUS VILLAGE LOCATIONS</v>
      </c>
      <c r="G3086" s="3" t="str">
        <f>CLEAN("DESIGN/PLAN CHECK REVIEW")</f>
        <v>DESIGN/PLAN CHECK REVIEW</v>
      </c>
      <c r="H3086" s="2" t="str">
        <f>CLEAN("NON HWY")</f>
        <v>NON HWY</v>
      </c>
      <c r="I3086" s="2" t="str">
        <f>CLEAN("290")</f>
        <v>290</v>
      </c>
    </row>
    <row r="3087" spans="1:9" x14ac:dyDescent="0.35">
      <c r="A3087" s="2" t="str">
        <f t="shared" si="470"/>
        <v>DANE</v>
      </c>
      <c r="B3087" s="2" t="str">
        <f t="shared" si="471"/>
        <v>VILLAGE OF DEFOREST</v>
      </c>
      <c r="C3087" s="2" t="s">
        <v>3341</v>
      </c>
      <c r="D3087" s="2" t="str">
        <f>CLEAN("6992-00-11")</f>
        <v>6992-00-11</v>
      </c>
      <c r="E3087" s="3" t="str">
        <f>CLEAN("V DEFOREST  MULTI-USE PATH")</f>
        <v>V DEFOREST  MULTI-USE PATH</v>
      </c>
      <c r="F3087" s="3" t="str">
        <f>CLEAN("VARIOUS VILLAGE LOCATIONS")</f>
        <v>VARIOUS VILLAGE LOCATIONS</v>
      </c>
      <c r="G3087" s="3" t="str">
        <f>CLEAN("SRTS MULTI-USE PATH")</f>
        <v>SRTS MULTI-USE PATH</v>
      </c>
      <c r="H3087" s="2" t="str">
        <f>CLEAN("NON HWY")</f>
        <v>NON HWY</v>
      </c>
      <c r="I3087" s="2" t="str">
        <f>CLEAN("290")</f>
        <v>290</v>
      </c>
    </row>
    <row r="3088" spans="1:9" x14ac:dyDescent="0.35">
      <c r="A3088" s="2" t="str">
        <f t="shared" si="470"/>
        <v>DANE</v>
      </c>
      <c r="B3088" s="2" t="str">
        <f t="shared" si="471"/>
        <v>VILLAGE OF DEFOREST</v>
      </c>
      <c r="C3088" s="2" t="s">
        <v>2227</v>
      </c>
      <c r="D3088" s="2" t="str">
        <f>CLEAN("6992-00-12")</f>
        <v>6992-00-12</v>
      </c>
      <c r="E3088" s="3" t="str">
        <f>CLEAN("V DEFOREST  VINBURN ROAD")</f>
        <v>V DEFOREST  VINBURN ROAD</v>
      </c>
      <c r="F3088" s="3" t="str">
        <f>CLEAN("MAIN STREET TO NORTH TOWNE ROAD")</f>
        <v>MAIN STREET TO NORTH TOWNE ROAD</v>
      </c>
      <c r="G3088" s="3" t="str">
        <f>CLEAN("DESIGN/PLAN CHECK REVIEW/RECSTE")</f>
        <v>DESIGN/PLAN CHECK REVIEW/RECSTE</v>
      </c>
      <c r="H3088" s="2" t="str">
        <f>CLEAN("LOC STR")</f>
        <v>LOC STR</v>
      </c>
      <c r="I3088" s="2" t="str">
        <f>CLEAN("206")</f>
        <v>206</v>
      </c>
    </row>
    <row r="3089" spans="1:9" x14ac:dyDescent="0.35">
      <c r="A3089" s="2" t="str">
        <f t="shared" si="470"/>
        <v>DANE</v>
      </c>
      <c r="B3089" s="2" t="str">
        <f t="shared" si="471"/>
        <v>VILLAGE OF DEFOREST</v>
      </c>
      <c r="C3089" s="2" t="s">
        <v>2228</v>
      </c>
      <c r="D3089" s="2" t="str">
        <f>CLEAN("6992-00-14")</f>
        <v>6992-00-14</v>
      </c>
      <c r="E3089" s="3" t="str">
        <f>CLEAN("V DEFOREST  EAST HOLUM STREET")</f>
        <v>V DEFOREST  EAST HOLUM STREET</v>
      </c>
      <c r="F3089" s="3" t="str">
        <f>CLEAN("MARKET STREET TO NORTH TOWNE ROAD")</f>
        <v>MARKET STREET TO NORTH TOWNE ROAD</v>
      </c>
      <c r="G3089" s="3" t="str">
        <f>CLEAN("DESIGN/PLAN CHECK REVIEW/RECSTE")</f>
        <v>DESIGN/PLAN CHECK REVIEW/RECSTE</v>
      </c>
      <c r="H3089" s="2" t="str">
        <f>CLEAN("LOC STR")</f>
        <v>LOC STR</v>
      </c>
      <c r="I3089" s="2" t="str">
        <f>CLEAN("206")</f>
        <v>206</v>
      </c>
    </row>
    <row r="3090" spans="1:9" x14ac:dyDescent="0.35">
      <c r="A3090" s="2" t="str">
        <f t="shared" si="470"/>
        <v>DANE</v>
      </c>
      <c r="B3090" s="2" t="str">
        <f t="shared" si="471"/>
        <v>VILLAGE OF DEFOREST</v>
      </c>
      <c r="C3090" s="2" t="s">
        <v>1048</v>
      </c>
      <c r="D3090" s="2" t="str">
        <f>CLEAN("6992-00-76")</f>
        <v>6992-00-76</v>
      </c>
      <c r="E3090" s="3" t="str">
        <f>CLEAN("V DEFOREST  NORTH TOWNE ROAD")</f>
        <v>V DEFOREST  NORTH TOWNE ROAD</v>
      </c>
      <c r="F3090" s="3" t="str">
        <f>CLEAN("VINBURN ROAD INTERSECTION")</f>
        <v>VINBURN ROAD INTERSECTION</v>
      </c>
      <c r="G3090" s="3" t="str">
        <f>CLEAN("CONST/SIGNALS/NEUTRAL LT TURN/MISC")</f>
        <v>CONST/SIGNALS/NEUTRAL LT TURN/MISC</v>
      </c>
      <c r="H3090" s="2" t="str">
        <f>CLEAN("LOC STR")</f>
        <v>LOC STR</v>
      </c>
      <c r="I3090" s="2" t="str">
        <f>CLEAN("206")</f>
        <v>206</v>
      </c>
    </row>
    <row r="3091" spans="1:9" x14ac:dyDescent="0.35">
      <c r="A3091" s="2" t="str">
        <f>CLEAN("WAUKESHA")</f>
        <v>WAUKESHA</v>
      </c>
      <c r="B3091" s="2" t="str">
        <f>CLEAN("VILLAGE OF EAGLE")</f>
        <v>VILLAGE OF EAGLE</v>
      </c>
      <c r="C3091" s="2" t="s">
        <v>706</v>
      </c>
      <c r="D3091" s="2" t="str">
        <f>CLEAN("3100-00-75")</f>
        <v>3100-00-75</v>
      </c>
      <c r="E3091" s="3" t="str">
        <f>CLEAN("ELKHORN TO EAGLE")</f>
        <v>ELKHORN TO EAGLE</v>
      </c>
      <c r="F3091" s="3" t="str">
        <f>CLEAN("USH 12 TO STH 59")</f>
        <v>USH 12 TO STH 59</v>
      </c>
      <c r="G3091" s="3" t="str">
        <f>CLEAN("CONST/PSRS40 RESURFACE")</f>
        <v>CONST/PSRS40 RESURFACE</v>
      </c>
      <c r="H3091" s="2" t="str">
        <f>CLEAN("STH 067")</f>
        <v>STH 067</v>
      </c>
      <c r="I3091" s="2" t="str">
        <f>CLEAN("303")</f>
        <v>303</v>
      </c>
    </row>
    <row r="3092" spans="1:9" x14ac:dyDescent="0.35">
      <c r="A3092" s="2" t="str">
        <f>CLEAN("WALWORTH")</f>
        <v>WALWORTH</v>
      </c>
      <c r="B3092" s="2" t="str">
        <f>CLEAN("VILLAGE OF EAST TROY")</f>
        <v>VILLAGE OF EAST TROY</v>
      </c>
      <c r="C3092" s="2" t="s">
        <v>2627</v>
      </c>
      <c r="D3092" s="2" t="str">
        <f>CLEAN("3847-04-01")</f>
        <v>3847-04-01</v>
      </c>
      <c r="E3092" s="3" t="str">
        <f>CLEAN("V EAST TROY PLANNING STUDY")</f>
        <v>V EAST TROY PLANNING STUDY</v>
      </c>
      <c r="F3092" s="3" t="str">
        <f>CLEAN("VILLAGE WIDE")</f>
        <v>VILLAGE WIDE</v>
      </c>
      <c r="G3092" s="3" t="str">
        <f>CLEAN("PE/BIKE PED TRANSP STUDY")</f>
        <v>PE/BIKE PED TRANSP STUDY</v>
      </c>
      <c r="H3092" s="2" t="str">
        <f>CLEAN("NON HWY")</f>
        <v>NON HWY</v>
      </c>
      <c r="I3092" s="2" t="str">
        <f>CLEAN("290")</f>
        <v>290</v>
      </c>
    </row>
    <row r="3093" spans="1:9" x14ac:dyDescent="0.35">
      <c r="A3093" s="2" t="str">
        <f>CLEAN("WALWORTH")</f>
        <v>WALWORTH</v>
      </c>
      <c r="B3093" s="2" t="str">
        <f>CLEAN("VILLAGE OF EAST TROY")</f>
        <v>VILLAGE OF EAST TROY</v>
      </c>
      <c r="C3093" s="2" t="s">
        <v>994</v>
      </c>
      <c r="D3093" s="2" t="str">
        <f>CLEAN("1090-03-77")</f>
        <v>1090-03-77</v>
      </c>
      <c r="E3093" s="3" t="str">
        <f>CLEAN("V EAST TROY  NORTH STREET")</f>
        <v>V EAST TROY  NORTH STREET</v>
      </c>
      <c r="F3093" s="3" t="str">
        <f>CLEAN("TOWNLINE RD TO EDWARDS ST")</f>
        <v>TOWNLINE RD TO EDWARDS ST</v>
      </c>
      <c r="G3093" s="3" t="str">
        <f>CLEAN("CONST/RESURFACE")</f>
        <v>CONST/RESURFACE</v>
      </c>
      <c r="H3093" s="2" t="str">
        <f>CLEAN("STH 020")</f>
        <v>STH 020</v>
      </c>
      <c r="I3093" s="2" t="str">
        <f>CLEAN("303")</f>
        <v>303</v>
      </c>
    </row>
    <row r="3094" spans="1:9" x14ac:dyDescent="0.35">
      <c r="A3094" s="2" t="str">
        <f>CLEAN("WALWORTH")</f>
        <v>WALWORTH</v>
      </c>
      <c r="B3094" s="2" t="str">
        <f>CLEAN("VILLAGE OF EAST TROY")</f>
        <v>VILLAGE OF EAST TROY</v>
      </c>
      <c r="C3094" s="2" t="s">
        <v>707</v>
      </c>
      <c r="D3094" s="2" t="str">
        <f>CLEAN("2698-03-73")</f>
        <v>2698-03-73</v>
      </c>
      <c r="E3094" s="3" t="str">
        <f>CLEAN("EAST TROY - RACINE")</f>
        <v>EAST TROY - RACINE</v>
      </c>
      <c r="F3094" s="3" t="str">
        <f>CLEAN("THOMAS DRIVE TO HONEY CREEK ROAD")</f>
        <v>THOMAS DRIVE TO HONEY CREEK ROAD</v>
      </c>
      <c r="G3094" s="3" t="str">
        <f>CLEAN("CONST/PSRS40/UTILITY")</f>
        <v>CONST/PSRS40/UTILITY</v>
      </c>
      <c r="H3094" s="2" t="str">
        <f>CLEAN("STH 020")</f>
        <v>STH 020</v>
      </c>
      <c r="I3094" s="2" t="str">
        <f>CLEAN("303")</f>
        <v>303</v>
      </c>
    </row>
    <row r="3095" spans="1:9" x14ac:dyDescent="0.35">
      <c r="A3095" s="2" t="str">
        <f>CLEAN("WALWORTH")</f>
        <v>WALWORTH</v>
      </c>
      <c r="B3095" s="2" t="str">
        <f>CLEAN("VILLAGE OF EAST TROY")</f>
        <v>VILLAGE OF EAST TROY</v>
      </c>
      <c r="C3095" s="2" t="s">
        <v>2807</v>
      </c>
      <c r="D3095" s="2" t="str">
        <f>CLEAN("3847-07-00")</f>
        <v>3847-07-00</v>
      </c>
      <c r="E3095" s="3" t="str">
        <f>CLEAN("EAST TROY MULTI-USE TRAIL EXTENSION")</f>
        <v>EAST TROY MULTI-USE TRAIL EXTENSION</v>
      </c>
      <c r="F3095" s="3" t="str">
        <f>CLEAN("MILL POND PARK TO HONEY CREEK CT")</f>
        <v>MILL POND PARK TO HONEY CREEK CT</v>
      </c>
      <c r="G3095" s="3" t="str">
        <f>CLEAN("PE/FULL PS/MISC")</f>
        <v>PE/FULL PS/MISC</v>
      </c>
      <c r="H3095" s="2" t="str">
        <f>CLEAN("NON HWY")</f>
        <v>NON HWY</v>
      </c>
      <c r="I3095" s="2" t="str">
        <f>CLEAN("290")</f>
        <v>290</v>
      </c>
    </row>
    <row r="3096" spans="1:9" x14ac:dyDescent="0.35">
      <c r="A3096" s="2" t="str">
        <f>CLEAN("WALWORTH")</f>
        <v>WALWORTH</v>
      </c>
      <c r="B3096" s="2" t="str">
        <f>CLEAN("VILLAGE OF EAST TROY")</f>
        <v>VILLAGE OF EAST TROY</v>
      </c>
      <c r="C3096" s="2" t="s">
        <v>367</v>
      </c>
      <c r="D3096" s="2" t="str">
        <f>CLEAN("3847-07-70")</f>
        <v>3847-07-70</v>
      </c>
      <c r="E3096" s="3" t="str">
        <f>CLEAN("EAST TROY MULTI-USE TRAIL EXTENSION")</f>
        <v>EAST TROY MULTI-USE TRAIL EXTENSION</v>
      </c>
      <c r="F3096" s="3" t="str">
        <f>CLEAN("MILL POND PARK TO HONEY CREEK CT")</f>
        <v>MILL POND PARK TO HONEY CREEK CT</v>
      </c>
      <c r="G3096" s="3" t="str">
        <f>CLEAN("CONST/BIKE PED TRAIL")</f>
        <v>CONST/BIKE PED TRAIL</v>
      </c>
      <c r="H3096" s="2" t="str">
        <f>CLEAN("NON HWY")</f>
        <v>NON HWY</v>
      </c>
      <c r="I3096" s="2" t="str">
        <f>CLEAN("290")</f>
        <v>290</v>
      </c>
    </row>
    <row r="3097" spans="1:9" x14ac:dyDescent="0.35">
      <c r="A3097" s="2" t="str">
        <f>CLEAN("DOOR")</f>
        <v>DOOR</v>
      </c>
      <c r="B3097" s="2" t="str">
        <f>CLEAN("VILLAGE OF EGG HARBOR")</f>
        <v>VILLAGE OF EGG HARBOR</v>
      </c>
      <c r="C3097" s="2" t="s">
        <v>737</v>
      </c>
      <c r="D3097" s="2" t="str">
        <f>CLEAN("4140-10-74")</f>
        <v>4140-10-74</v>
      </c>
      <c r="E3097" s="3" t="str">
        <f>CLEAN("V EGG HARBOR  STH 42")</f>
        <v>V EGG HARBOR  STH 42</v>
      </c>
      <c r="F3097" s="3" t="str">
        <f>CLEAN("HARBOR SCHOOL ROAD - CHURCH STREET")</f>
        <v>HARBOR SCHOOL ROAD - CHURCH STREET</v>
      </c>
      <c r="G3097" s="3" t="str">
        <f>CLEAN("CONST/RCND10")</f>
        <v>CONST/RCND10</v>
      </c>
      <c r="H3097" s="2" t="str">
        <f>CLEAN("STH 042")</f>
        <v>STH 042</v>
      </c>
      <c r="I3097" s="2" t="str">
        <f>CLEAN("211")</f>
        <v>211</v>
      </c>
    </row>
    <row r="3098" spans="1:9" x14ac:dyDescent="0.35">
      <c r="A3098" s="2" t="str">
        <f>CLEAN("DOOR")</f>
        <v>DOOR</v>
      </c>
      <c r="B3098" s="2" t="str">
        <f>CLEAN("VILLAGE OF EGG HARBOR")</f>
        <v>VILLAGE OF EGG HARBOR</v>
      </c>
      <c r="C3098" s="2" t="s">
        <v>535</v>
      </c>
      <c r="D3098" s="2" t="str">
        <f>CLEAN("4140-10-75")</f>
        <v>4140-10-75</v>
      </c>
      <c r="E3098" s="3" t="str">
        <f>CLEAN("V EGG HARBOR - STREET LIGHTING")</f>
        <v>V EGG HARBOR - STREET LIGHTING</v>
      </c>
      <c r="F3098" s="3" t="str">
        <f>CLEAN("HARBOR SCHOOL ROAD - CHURCH STREET")</f>
        <v>HARBOR SCHOOL ROAD - CHURCH STREET</v>
      </c>
      <c r="G3098" s="3" t="str">
        <f>CLEAN("CONST/CRP/MISC")</f>
        <v>CONST/CRP/MISC</v>
      </c>
      <c r="H3098" s="2" t="str">
        <f>CLEAN("LOC STR")</f>
        <v>LOC STR</v>
      </c>
      <c r="I3098" s="2" t="str">
        <f>CLEAN("206")</f>
        <v>206</v>
      </c>
    </row>
    <row r="3099" spans="1:9" x14ac:dyDescent="0.35">
      <c r="A3099" s="2" t="str">
        <f>CLEAN("DOOR")</f>
        <v>DOOR</v>
      </c>
      <c r="B3099" s="2" t="str">
        <f>CLEAN("VILLAGE OF EGG HARBOR")</f>
        <v>VILLAGE OF EGG HARBOR</v>
      </c>
      <c r="C3099" s="2" t="s">
        <v>636</v>
      </c>
      <c r="D3099" s="2" t="str">
        <f>CLEAN("4423-00-01")</f>
        <v>4423-00-01</v>
      </c>
      <c r="E3099" s="3" t="str">
        <f>CLEAN("WALK  BIKE &amp; EGGSPLORE EGG HARBOR")</f>
        <v>WALK  BIKE &amp; EGGSPLORE EGG HARBOR</v>
      </c>
      <c r="F3099" s="3" t="str">
        <f>CLEAN("V EGG HARBOR")</f>
        <v>V EGG HARBOR</v>
      </c>
      <c r="G3099" s="3" t="str">
        <f>CLEAN("CONST/MISC PED/BIKE TRAIL")</f>
        <v>CONST/MISC PED/BIKE TRAIL</v>
      </c>
      <c r="H3099" s="2" t="str">
        <f>CLEAN("STH 042")</f>
        <v>STH 042</v>
      </c>
      <c r="I3099" s="2" t="str">
        <f>CLEAN("290")</f>
        <v>290</v>
      </c>
    </row>
    <row r="3100" spans="1:9" x14ac:dyDescent="0.35">
      <c r="A3100" s="2" t="str">
        <f>CLEAN("TREMPEALEAU")</f>
        <v>TREMPEALEAU</v>
      </c>
      <c r="B3100" s="2" t="str">
        <f>CLEAN("VILLAGE OF ELEVA")</f>
        <v>VILLAGE OF ELEVA</v>
      </c>
      <c r="C3100" s="2" t="s">
        <v>1350</v>
      </c>
      <c r="D3100" s="2" t="str">
        <f>CLEAN("1530-06-80")</f>
        <v>1530-06-80</v>
      </c>
      <c r="E3100" s="3" t="str">
        <f>CLEAN("MONDOVI - OSSEO")</f>
        <v>MONDOVI - OSSEO</v>
      </c>
      <c r="F3100" s="3" t="str">
        <f>CLEAN("HUNT LANE TO NELSON ROAD")</f>
        <v>HUNT LANE TO NELSON ROAD</v>
      </c>
      <c r="G3100" s="3" t="str">
        <f>CLEAN("CONSTRUCTION/RESURFACE")</f>
        <v>CONSTRUCTION/RESURFACE</v>
      </c>
      <c r="H3100" s="2" t="str">
        <f>CLEAN("USH 010")</f>
        <v>USH 010</v>
      </c>
      <c r="I3100" s="2" t="str">
        <f>CLEAN("303")</f>
        <v>303</v>
      </c>
    </row>
    <row r="3101" spans="1:9" x14ac:dyDescent="0.35">
      <c r="A3101" s="2" t="str">
        <f>CLEAN("PIERCE")</f>
        <v>PIERCE</v>
      </c>
      <c r="B3101" s="2" t="str">
        <f>CLEAN("VILLAGE OF ELLSWORTH")</f>
        <v>VILLAGE OF ELLSWORTH</v>
      </c>
      <c r="C3101" s="2" t="s">
        <v>1362</v>
      </c>
      <c r="D3101" s="2" t="str">
        <f>CLEAN("1540-01-72")</f>
        <v>1540-01-72</v>
      </c>
      <c r="E3101" s="3" t="str">
        <f>CLEAN("V ELLSWORTH  MAPLE STREET")</f>
        <v>V ELLSWORTH  MAPLE STREET</v>
      </c>
      <c r="F3101" s="3" t="str">
        <f>CLEAN("USH 10 TO MIDWAY AVENUE")</f>
        <v>USH 10 TO MIDWAY AVENUE</v>
      </c>
      <c r="G3101" s="3" t="str">
        <f>CLEAN("CONSTRUCTION/RESURFACE/RSRF20")</f>
        <v>CONSTRUCTION/RESURFACE/RSRF20</v>
      </c>
      <c r="H3101" s="2" t="str">
        <f>CLEAN("STH 065")</f>
        <v>STH 065</v>
      </c>
      <c r="I3101" s="2" t="str">
        <f>CLEAN("303")</f>
        <v>303</v>
      </c>
    </row>
    <row r="3102" spans="1:9" x14ac:dyDescent="0.35">
      <c r="A3102" s="2" t="str">
        <f>CLEAN("FOND DU LAC")</f>
        <v>FOND DU LAC</v>
      </c>
      <c r="B3102" s="2" t="str">
        <f>CLEAN("VILLAGE OF FAIRWATER")</f>
        <v>VILLAGE OF FAIRWATER</v>
      </c>
      <c r="C3102" s="2" t="s">
        <v>209</v>
      </c>
      <c r="D3102" s="2" t="str">
        <f>CLEAN("6100-08-60")</f>
        <v>6100-08-60</v>
      </c>
      <c r="E3102" s="3" t="str">
        <f>CLEAN("FAIRWATER-BRANDON")</f>
        <v>FAIRWATER-BRANDON</v>
      </c>
      <c r="F3102" s="3" t="str">
        <f>CLEAN("WCL-STH 49")</f>
        <v>WCL-STH 49</v>
      </c>
      <c r="G3102" s="3" t="str">
        <f>CLEAN("CONST OPS/PSRS")</f>
        <v>CONST OPS/PSRS</v>
      </c>
      <c r="H3102" s="2" t="str">
        <f>CLEAN("STH 044")</f>
        <v>STH 044</v>
      </c>
      <c r="I3102" s="2" t="str">
        <f>CLEAN("303")</f>
        <v>303</v>
      </c>
    </row>
    <row r="3103" spans="1:9" x14ac:dyDescent="0.35">
      <c r="A3103" s="2" t="str">
        <f>CLEAN("CRAWFORD")</f>
        <v>CRAWFORD</v>
      </c>
      <c r="B3103" s="2" t="str">
        <f>CLEAN("VILLAGE OF FERRYVILLE")</f>
        <v>VILLAGE OF FERRYVILLE</v>
      </c>
      <c r="C3103" s="2" t="s">
        <v>521</v>
      </c>
      <c r="D3103" s="2" t="str">
        <f>CLEAN("5160-00-01")</f>
        <v>5160-00-01</v>
      </c>
      <c r="E3103" s="3" t="str">
        <f>CLEAN("V FERRYVILLE  STH 35")</f>
        <v>V FERRYVILLE  STH 35</v>
      </c>
      <c r="F3103" s="3" t="str">
        <f>CLEAN("RIVER BLUFF DR. TO CTH C")</f>
        <v>RIVER BLUFF DR. TO CTH C</v>
      </c>
      <c r="G3103" s="3" t="str">
        <f>CLEAN("CONST/CARBON RED-LED LIGHTING")</f>
        <v>CONST/CARBON RED-LED LIGHTING</v>
      </c>
      <c r="H3103" s="2" t="str">
        <f>CLEAN("STH 035")</f>
        <v>STH 035</v>
      </c>
      <c r="I3103" s="2" t="str">
        <f>CLEAN("206")</f>
        <v>206</v>
      </c>
    </row>
    <row r="3104" spans="1:9" x14ac:dyDescent="0.35">
      <c r="A3104" s="2" t="str">
        <f>CLEAN("WINNEBAGO")</f>
        <v>WINNEBAGO</v>
      </c>
      <c r="B3104" s="2" t="str">
        <f>CLEAN("VILLAGE OF FOX CROSSING")</f>
        <v>VILLAGE OF FOX CROSSING</v>
      </c>
      <c r="C3104" s="2" t="s">
        <v>2474</v>
      </c>
      <c r="D3104" s="2" t="str">
        <f>CLEAN("4619-11-71")</f>
        <v>4619-11-71</v>
      </c>
      <c r="E3104" s="3" t="str">
        <f>CLEAN("V FOX CROSSING  EAST SHADY LANE")</f>
        <v>V FOX CROSSING  EAST SHADY LANE</v>
      </c>
      <c r="F3104" s="3" t="str">
        <f>CLEAN("COLD SPRING ROAD TO CTH CB")</f>
        <v>COLD SPRING ROAD TO CTH CB</v>
      </c>
      <c r="G3104" s="3" t="str">
        <f>CLEAN("DSN/FULL PSE/RECST")</f>
        <v>DSN/FULL PSE/RECST</v>
      </c>
      <c r="H3104" s="2" t="str">
        <f>CLEAN("LOC STR")</f>
        <v>LOC STR</v>
      </c>
      <c r="I3104" s="2" t="str">
        <f>CLEAN("206")</f>
        <v>206</v>
      </c>
    </row>
    <row r="3105" spans="1:9" x14ac:dyDescent="0.35">
      <c r="A3105" s="2" t="str">
        <f>CLEAN("MILWAUKEE")</f>
        <v>MILWAUKEE</v>
      </c>
      <c r="B3105" s="2" t="str">
        <f>CLEAN("VILLAGE OF FOX POINT")</f>
        <v>VILLAGE OF FOX POINT</v>
      </c>
      <c r="C3105" s="2" t="s">
        <v>2963</v>
      </c>
      <c r="D3105" s="2" t="str">
        <f>CLEAN("2225-00-03")</f>
        <v>2225-00-03</v>
      </c>
      <c r="E3105" s="3" t="str">
        <f>CLEAN("STH 32 - VILLAGE OF FOX POINT")</f>
        <v>STH 32 - VILLAGE OF FOX POINT</v>
      </c>
      <c r="F3105" s="3" t="str">
        <f>CLEAN("SCHOOL ROAD TO DEAN ROAD")</f>
        <v>SCHOOL ROAD TO DEAN ROAD</v>
      </c>
      <c r="G3105" s="3" t="str">
        <f>CLEAN("PE/RESURFACE")</f>
        <v>PE/RESURFACE</v>
      </c>
      <c r="H3105" s="2" t="str">
        <f>CLEAN("STH 032")</f>
        <v>STH 032</v>
      </c>
      <c r="I3105" s="2" t="str">
        <f>CLEAN("303")</f>
        <v>303</v>
      </c>
    </row>
    <row r="3106" spans="1:9" x14ac:dyDescent="0.35">
      <c r="A3106" s="2" t="str">
        <f>CLEAN("MILWAUKEE")</f>
        <v>MILWAUKEE</v>
      </c>
      <c r="B3106" s="2" t="str">
        <f>CLEAN("VILLAGE OF FOX POINT")</f>
        <v>VILLAGE OF FOX POINT</v>
      </c>
      <c r="C3106" s="2" t="s">
        <v>684</v>
      </c>
      <c r="D3106" s="2" t="str">
        <f>CLEAN("2225-00-74")</f>
        <v>2225-00-74</v>
      </c>
      <c r="E3106" s="3" t="str">
        <f>CLEAN("V FOX POINT CROSSWALK ENHANCEMENTS")</f>
        <v>V FOX POINT CROSSWALK ENHANCEMENTS</v>
      </c>
      <c r="F3106" s="3" t="str">
        <f>CLEAN("6 LOCATIONS ON LAKE DR")</f>
        <v>6 LOCATIONS ON LAKE DR</v>
      </c>
      <c r="G3106" s="3" t="str">
        <f>CLEAN("CONST/PED ENHANCEMENT")</f>
        <v>CONST/PED ENHANCEMENT</v>
      </c>
      <c r="H3106" s="2" t="str">
        <f>CLEAN("STH 032")</f>
        <v>STH 032</v>
      </c>
      <c r="I3106" s="2" t="str">
        <f>CLEAN("290")</f>
        <v>290</v>
      </c>
    </row>
    <row r="3107" spans="1:9" x14ac:dyDescent="0.35">
      <c r="A3107" s="2" t="str">
        <f>CLEAN("MILWAUKEE")</f>
        <v>MILWAUKEE</v>
      </c>
      <c r="B3107" s="2" t="str">
        <f>CLEAN("VILLAGE OF FOX POINT")</f>
        <v>VILLAGE OF FOX POINT</v>
      </c>
      <c r="C3107" s="2" t="s">
        <v>1108</v>
      </c>
      <c r="D3107" s="2" t="str">
        <f>CLEAN("2225-00-83")</f>
        <v>2225-00-83</v>
      </c>
      <c r="E3107" s="3" t="str">
        <f>CLEAN("V FOX POINT  N LAKE DR")</f>
        <v>V FOX POINT  N LAKE DR</v>
      </c>
      <c r="F3107" s="3" t="str">
        <f>CLEAN("SCHOOL ROAD TO DEAN ROAD")</f>
        <v>SCHOOL ROAD TO DEAN ROAD</v>
      </c>
      <c r="G3107" s="3" t="str">
        <f>CLEAN("CONST/WATERMAIN")</f>
        <v>CONST/WATERMAIN</v>
      </c>
      <c r="H3107" s="2" t="str">
        <f>CLEAN("STH 032")</f>
        <v>STH 032</v>
      </c>
      <c r="I3107" s="2" t="str">
        <f>CLEAN("303")</f>
        <v>303</v>
      </c>
    </row>
    <row r="3108" spans="1:9" x14ac:dyDescent="0.35">
      <c r="A3108" s="2" t="str">
        <f>CLEAN("POLK")</f>
        <v>POLK</v>
      </c>
      <c r="B3108" s="2" t="str">
        <f>CLEAN("VILLAGE OF FREDERIC")</f>
        <v>VILLAGE OF FREDERIC</v>
      </c>
      <c r="C3108" s="2" t="s">
        <v>1647</v>
      </c>
      <c r="D3108" s="2" t="str">
        <f>CLEAN("8420-02-02")</f>
        <v>8420-02-02</v>
      </c>
      <c r="E3108" s="3" t="str">
        <f>CLEAN("V FREDERIC  THIRD AVENUE")</f>
        <v>V FREDERIC  THIRD AVENUE</v>
      </c>
      <c r="F3108" s="3" t="str">
        <f>CLEAN("ASH STREET TO OAK STREET")</f>
        <v>ASH STREET TO OAK STREET</v>
      </c>
      <c r="G3108" s="3" t="str">
        <f>CLEAN("DESIGN - FULL PS&amp;E/RECONSTRUCTION")</f>
        <v>DESIGN - FULL PS&amp;E/RECONSTRUCTION</v>
      </c>
      <c r="H3108" s="2" t="str">
        <f>CLEAN("LOC STR")</f>
        <v>LOC STR</v>
      </c>
      <c r="I3108" s="2" t="str">
        <f>CLEAN("206")</f>
        <v>206</v>
      </c>
    </row>
    <row r="3109" spans="1:9" x14ac:dyDescent="0.35">
      <c r="A3109" s="2" t="str">
        <f>CLEAN("POLK")</f>
        <v>POLK</v>
      </c>
      <c r="B3109" s="2" t="str">
        <f>CLEAN("VILLAGE OF FREDERIC")</f>
        <v>VILLAGE OF FREDERIC</v>
      </c>
      <c r="C3109" s="2" t="s">
        <v>1356</v>
      </c>
      <c r="D3109" s="2" t="str">
        <f>CLEAN("8010-01-80")</f>
        <v>8010-01-80</v>
      </c>
      <c r="E3109" s="3" t="str">
        <f>CLEAN("LUCK - SIREN")</f>
        <v>LUCK - SIREN</v>
      </c>
      <c r="F3109" s="3" t="str">
        <f>CLEAN("STH 48 E TO POLK STREET")</f>
        <v>STH 48 E TO POLK STREET</v>
      </c>
      <c r="G3109" s="3" t="str">
        <f>CLEAN("CONSTRUCTION/RESURFACE")</f>
        <v>CONSTRUCTION/RESURFACE</v>
      </c>
      <c r="H3109" s="2" t="str">
        <f>CLEAN("STH 035")</f>
        <v>STH 035</v>
      </c>
      <c r="I3109" s="2" t="str">
        <f>CLEAN("303")</f>
        <v>303</v>
      </c>
    </row>
    <row r="3110" spans="1:9" x14ac:dyDescent="0.35">
      <c r="A3110" s="2" t="str">
        <f>CLEAN("POLK")</f>
        <v>POLK</v>
      </c>
      <c r="B3110" s="2" t="str">
        <f>CLEAN("VILLAGE OF FREDERIC")</f>
        <v>VILLAGE OF FREDERIC</v>
      </c>
      <c r="C3110" s="2" t="s">
        <v>1324</v>
      </c>
      <c r="D3110" s="2" t="str">
        <f>CLEAN("8420-02-72")</f>
        <v>8420-02-72</v>
      </c>
      <c r="E3110" s="3" t="str">
        <f>CLEAN("V FREDERIC  THIRD AVENUE")</f>
        <v>V FREDERIC  THIRD AVENUE</v>
      </c>
      <c r="F3110" s="3" t="str">
        <f>CLEAN("ASH STREET TO OAK STREET")</f>
        <v>ASH STREET TO OAK STREET</v>
      </c>
      <c r="G3110" s="3" t="str">
        <f>CLEAN("CONSTRUCTION/RECONSTRUCTION")</f>
        <v>CONSTRUCTION/RECONSTRUCTION</v>
      </c>
      <c r="H3110" s="2" t="str">
        <f>CLEAN("LOC STR")</f>
        <v>LOC STR</v>
      </c>
      <c r="I3110" s="2" t="str">
        <f>CLEAN("206")</f>
        <v>206</v>
      </c>
    </row>
    <row r="3111" spans="1:9" x14ac:dyDescent="0.35">
      <c r="A3111" s="2" t="str">
        <f>CLEAN("ADAMS")</f>
        <v>ADAMS</v>
      </c>
      <c r="B3111" s="2" t="str">
        <f>CLEAN("VILLAGE OF FRIENDSHIP")</f>
        <v>VILLAGE OF FRIENDSHIP</v>
      </c>
      <c r="C3111" s="2" t="s">
        <v>1139</v>
      </c>
      <c r="D3111" s="2" t="str">
        <f>CLEAN("6140-01-66")</f>
        <v>6140-01-66</v>
      </c>
      <c r="E3111" s="3" t="str">
        <f>CLEAN("V OF FRIENDSHIP")</f>
        <v>V OF FRIENDSHIP</v>
      </c>
      <c r="F3111" s="3" t="str">
        <f>CLEAN("NORTH ST TO MOUND VIEW DR")</f>
        <v>NORTH ST TO MOUND VIEW DR</v>
      </c>
      <c r="G3111" s="3" t="str">
        <f>CLEAN("CONSTR/RESURFACE")</f>
        <v>CONSTR/RESURFACE</v>
      </c>
      <c r="H3111" s="2" t="str">
        <f>CLEAN("STH 013")</f>
        <v>STH 013</v>
      </c>
      <c r="I3111" s="2" t="str">
        <f>CLEAN("303")</f>
        <v>303</v>
      </c>
    </row>
    <row r="3112" spans="1:9" x14ac:dyDescent="0.35">
      <c r="A3112" s="2" t="str">
        <f>CLEAN("CRAWFORD")</f>
        <v>CRAWFORD</v>
      </c>
      <c r="B3112" s="2" t="str">
        <f>CLEAN("VILLAGE OF GAYS MILLS")</f>
        <v>VILLAGE OF GAYS MILLS</v>
      </c>
      <c r="C3112" s="2" t="s">
        <v>606</v>
      </c>
      <c r="D3112" s="2" t="str">
        <f>CLEAN("5780-03-72")</f>
        <v>5780-03-72</v>
      </c>
      <c r="E3112" s="3" t="str">
        <f>CLEAN("WAUZEKA - SOLDIERS GROVE")</f>
        <v>WAUZEKA - SOLDIERS GROVE</v>
      </c>
      <c r="F3112" s="3" t="str">
        <f>CLEAN("SUNNY RIDGE ROAD TO PLEASANT STREET")</f>
        <v>SUNNY RIDGE ROAD TO PLEASANT STREET</v>
      </c>
      <c r="G3112" s="3" t="str">
        <f>CLEAN("CONST/MILL &amp; O'LAY/B-12-79/PVRPLA")</f>
        <v>CONST/MILL &amp; O'LAY/B-12-79/PVRPLA</v>
      </c>
      <c r="H3112" s="2" t="str">
        <f>CLEAN("STH 131")</f>
        <v>STH 131</v>
      </c>
      <c r="I3112" s="2" t="str">
        <f>CLEAN("303")</f>
        <v>303</v>
      </c>
    </row>
    <row r="3113" spans="1:9" x14ac:dyDescent="0.35">
      <c r="A3113" s="2" t="str">
        <f>CLEAN("CRAWFORD")</f>
        <v>CRAWFORD</v>
      </c>
      <c r="B3113" s="2" t="str">
        <f>CLEAN("VILLAGE OF GAYS MILLS")</f>
        <v>VILLAGE OF GAYS MILLS</v>
      </c>
      <c r="C3113" s="2" t="s">
        <v>362</v>
      </c>
      <c r="D3113" s="2" t="str">
        <f>CLEAN("5790-02-72")</f>
        <v>5790-02-72</v>
      </c>
      <c r="E3113" s="3" t="str">
        <f>CLEAN("FERRYVILLE - ROLLING GROUND")</f>
        <v>FERRYVILLE - ROLLING GROUND</v>
      </c>
      <c r="F3113" s="3" t="str">
        <f>CLEAN("STH 27 TO USH 61")</f>
        <v>STH 27 TO USH 61</v>
      </c>
      <c r="G3113" s="3" t="str">
        <f>CLEAN("CONST/B-12-137/PVRPLA")</f>
        <v>CONST/B-12-137/PVRPLA</v>
      </c>
      <c r="H3113" s="2" t="str">
        <f>CLEAN("STH 171")</f>
        <v>STH 171</v>
      </c>
      <c r="I3113" s="2" t="str">
        <f>CLEAN("303")</f>
        <v>303</v>
      </c>
    </row>
    <row r="3114" spans="1:9" x14ac:dyDescent="0.35">
      <c r="A3114" s="2" t="str">
        <f>CLEAN("WASHINGTON")</f>
        <v>WASHINGTON</v>
      </c>
      <c r="B3114" s="2" t="str">
        <f>CLEAN("VILLAGE OF GERMANTOWN")</f>
        <v>VILLAGE OF GERMANTOWN</v>
      </c>
      <c r="C3114" s="2" t="s">
        <v>2724</v>
      </c>
      <c r="D3114" s="2" t="str">
        <f>CLEAN("2300-05-01")</f>
        <v>2300-05-01</v>
      </c>
      <c r="E3114" s="3" t="str">
        <f>CLEAN("V GERMANTOWN  LANNON &amp; MEQUON RD")</f>
        <v>V GERMANTOWN  LANNON &amp; MEQUON RD</v>
      </c>
      <c r="F3114" s="3" t="str">
        <f>CLEAN("IH41 E ON/OFF RAMPS-S STH 145")</f>
        <v>IH41 E ON/OFF RAMPS-S STH 145</v>
      </c>
      <c r="G3114" s="3" t="str">
        <f>CLEAN("PE/FULL PS&amp;E ROW/RSRF20")</f>
        <v>PE/FULL PS&amp;E ROW/RSRF20</v>
      </c>
      <c r="H3114" s="2" t="str">
        <f>CLEAN("STH 167")</f>
        <v>STH 167</v>
      </c>
      <c r="I3114" s="2" t="str">
        <f>CLEAN("303")</f>
        <v>303</v>
      </c>
    </row>
    <row r="3115" spans="1:9" x14ac:dyDescent="0.35">
      <c r="A3115" s="2" t="str">
        <f>CLEAN("WASHINGTON")</f>
        <v>WASHINGTON</v>
      </c>
      <c r="B3115" s="2" t="str">
        <f>CLEAN("VILLAGE OF GERMANTOWN")</f>
        <v>VILLAGE OF GERMANTOWN</v>
      </c>
      <c r="C3115" s="2" t="s">
        <v>2901</v>
      </c>
      <c r="D3115" s="2" t="str">
        <f>CLEAN("3700-04-01")</f>
        <v>3700-04-01</v>
      </c>
      <c r="E3115" s="3" t="str">
        <f>CLEAN("STH 175 SIGNAL RETROFIT")</f>
        <v>STH 175 SIGNAL RETROFIT</v>
      </c>
      <c r="F3115" s="3" t="str">
        <f>CLEAN("INTERSECTION CTH Q/COUNTY LINE RD")</f>
        <v>INTERSECTION CTH Q/COUNTY LINE RD</v>
      </c>
      <c r="G3115" s="3" t="str">
        <f>CLEAN("PE/ITS SISP SE2605L")</f>
        <v>PE/ITS SISP SE2605L</v>
      </c>
      <c r="H3115" s="2" t="str">
        <f>CLEAN("STH 175")</f>
        <v>STH 175</v>
      </c>
      <c r="I3115" s="2" t="str">
        <f>CLEAN("305")</f>
        <v>305</v>
      </c>
    </row>
    <row r="3116" spans="1:9" x14ac:dyDescent="0.35">
      <c r="A3116" s="2" t="str">
        <f>CLEAN("WASHINGTON")</f>
        <v>WASHINGTON</v>
      </c>
      <c r="B3116" s="2" t="str">
        <f>CLEAN("VILLAGE OF GERMANTOWN")</f>
        <v>VILLAGE OF GERMANTOWN</v>
      </c>
      <c r="C3116" s="2" t="s">
        <v>2764</v>
      </c>
      <c r="D3116" s="2" t="str">
        <f>CLEAN("2740-02-00")</f>
        <v>2740-02-00</v>
      </c>
      <c r="E3116" s="3" t="str">
        <f>CLEAN("V GERMANTOWN  LANNON ROAD")</f>
        <v>V GERMANTOWN  LANNON ROAD</v>
      </c>
      <c r="F3116" s="3" t="str">
        <f>CLEAN("INTERSECTION WITH MAPLE ROAD")</f>
        <v>INTERSECTION WITH MAPLE ROAD</v>
      </c>
      <c r="G3116" s="3" t="str">
        <f>CLEAN("PE/FULL PS&amp;E/RECONSTRUCT")</f>
        <v>PE/FULL PS&amp;E/RECONSTRUCT</v>
      </c>
      <c r="H3116" s="2" t="str">
        <f>CLEAN("STH 167")</f>
        <v>STH 167</v>
      </c>
      <c r="I3116" s="2" t="str">
        <f>CLEAN("303")</f>
        <v>303</v>
      </c>
    </row>
    <row r="3117" spans="1:9" x14ac:dyDescent="0.35">
      <c r="A3117" s="2" t="str">
        <f>CLEAN("WASHINGTON")</f>
        <v>WASHINGTON</v>
      </c>
      <c r="B3117" s="2" t="str">
        <f>CLEAN("VILLAGE OF GERMANTOWN")</f>
        <v>VILLAGE OF GERMANTOWN</v>
      </c>
      <c r="C3117" s="2" t="s">
        <v>769</v>
      </c>
      <c r="D3117" s="2" t="str">
        <f>CLEAN("2740-02-70")</f>
        <v>2740-02-70</v>
      </c>
      <c r="E3117" s="3" t="str">
        <f>CLEAN("V GERMANTOWN  LANNON ROAD")</f>
        <v>V GERMANTOWN  LANNON ROAD</v>
      </c>
      <c r="F3117" s="3" t="str">
        <f>CLEAN("INTERSECTION WITH MAPLE ROAD")</f>
        <v>INTERSECTION WITH MAPLE ROAD</v>
      </c>
      <c r="G3117" s="3" t="str">
        <f>CLEAN("CONST/RECONSTRUCT")</f>
        <v>CONST/RECONSTRUCT</v>
      </c>
      <c r="H3117" s="2" t="str">
        <f>CLEAN("STH 167")</f>
        <v>STH 167</v>
      </c>
      <c r="I3117" s="2" t="str">
        <f>CLEAN("303")</f>
        <v>303</v>
      </c>
    </row>
    <row r="3118" spans="1:9" x14ac:dyDescent="0.35">
      <c r="A3118" s="2" t="str">
        <f>CLEAN("RUSK")</f>
        <v>RUSK</v>
      </c>
      <c r="B3118" s="2" t="str">
        <f>CLEAN("VILLAGE OF GLEN FLORA")</f>
        <v>VILLAGE OF GLEN FLORA</v>
      </c>
      <c r="C3118" s="2" t="s">
        <v>1355</v>
      </c>
      <c r="D3118" s="2" t="str">
        <f>CLEAN("1580-04-72")</f>
        <v>1580-04-72</v>
      </c>
      <c r="E3118" s="3" t="str">
        <f>CLEAN("LADYSMITH - HAWKINS")</f>
        <v>LADYSMITH - HAWKINS</v>
      </c>
      <c r="F3118" s="3" t="str">
        <f>CLEAN("RIVER AVENUE TO PRENTICE STREET")</f>
        <v>RIVER AVENUE TO PRENTICE STREET</v>
      </c>
      <c r="G3118" s="3" t="str">
        <f>CLEAN("CONSTRUCTION/RESURFACE")</f>
        <v>CONSTRUCTION/RESURFACE</v>
      </c>
      <c r="H3118" s="2" t="str">
        <f>CLEAN("USH 008")</f>
        <v>USH 008</v>
      </c>
      <c r="I3118" s="2" t="str">
        <f>CLEAN("303")</f>
        <v>303</v>
      </c>
    </row>
    <row r="3119" spans="1:9" x14ac:dyDescent="0.35">
      <c r="A3119" s="2" t="str">
        <f>CLEAN("OZAUKEE")</f>
        <v>OZAUKEE</v>
      </c>
      <c r="B3119" s="2" t="str">
        <f>CLEAN("VILLAGE OF GRAFTON")</f>
        <v>VILLAGE OF GRAFTON</v>
      </c>
      <c r="C3119" s="2" t="s">
        <v>2751</v>
      </c>
      <c r="D3119" s="2" t="str">
        <f>CLEAN("2310-05-03")</f>
        <v>2310-05-03</v>
      </c>
      <c r="E3119" s="3" t="str">
        <f>CLEAN("V GRAFTON  WASHINGTON ST")</f>
        <v>V GRAFTON  WASHINGTON ST</v>
      </c>
      <c r="F3119" s="3" t="str">
        <f>CLEAN("10TH AVE TO IH43 SB ON/OFF RAMP")</f>
        <v>10TH AVE TO IH43 SB ON/OFF RAMP</v>
      </c>
      <c r="G3119" s="3" t="str">
        <f>CLEAN("PE/FULL PS&amp;E/PSRS30")</f>
        <v>PE/FULL PS&amp;E/PSRS30</v>
      </c>
      <c r="H3119" s="2" t="str">
        <f>CLEAN("STH 060")</f>
        <v>STH 060</v>
      </c>
      <c r="I3119" s="2" t="str">
        <f>CLEAN("303")</f>
        <v>303</v>
      </c>
    </row>
    <row r="3120" spans="1:9" x14ac:dyDescent="0.35">
      <c r="A3120" s="2" t="str">
        <f>CLEAN("OZAUKEE")</f>
        <v>OZAUKEE</v>
      </c>
      <c r="B3120" s="2" t="str">
        <f>CLEAN("VILLAGE OF GRAFTON")</f>
        <v>VILLAGE OF GRAFTON</v>
      </c>
      <c r="C3120" s="2" t="s">
        <v>2768</v>
      </c>
      <c r="D3120" s="2" t="str">
        <f>CLEAN("2310-18-02")</f>
        <v>2310-18-02</v>
      </c>
      <c r="E3120" s="3" t="str">
        <f>CLEAN("V GRAFTON  WASHINGTON ST")</f>
        <v>V GRAFTON  WASHINGTON ST</v>
      </c>
      <c r="F3120" s="3" t="str">
        <f>CLEAN("1ST AVE TO 10TH AVE")</f>
        <v>1ST AVE TO 10TH AVE</v>
      </c>
      <c r="G3120" s="3" t="str">
        <f>CLEAN("PE/FULL PS&amp;E/RESURFACE")</f>
        <v>PE/FULL PS&amp;E/RESURFACE</v>
      </c>
      <c r="H3120" s="2" t="str">
        <f>CLEAN("STH 060")</f>
        <v>STH 060</v>
      </c>
      <c r="I3120" s="2" t="str">
        <f>CLEAN("303")</f>
        <v>303</v>
      </c>
    </row>
    <row r="3121" spans="1:9" x14ac:dyDescent="0.35">
      <c r="A3121" s="2" t="str">
        <f>CLEAN("OZAUKEE")</f>
        <v>OZAUKEE</v>
      </c>
      <c r="B3121" s="2" t="str">
        <f>CLEAN("VILLAGE OF GRAFTON")</f>
        <v>VILLAGE OF GRAFTON</v>
      </c>
      <c r="C3121" s="2" t="s">
        <v>2971</v>
      </c>
      <c r="D3121" s="2" t="str">
        <f>CLEAN("3700-22-01")</f>
        <v>3700-22-01</v>
      </c>
      <c r="E3121" s="3" t="str">
        <f>CLEAN("STH 60 &amp; 12TH AVE SIGNAL IMPROVEMNT")</f>
        <v>STH 60 &amp; 12TH AVE SIGNAL IMPROVEMNT</v>
      </c>
      <c r="F3121" s="3" t="str">
        <f>CLEAN("STH 60 &amp; 12TH AVE INTERSECTION")</f>
        <v>STH 60 &amp; 12TH AVE INTERSECTION</v>
      </c>
      <c r="G3121" s="3" t="str">
        <f>CLEAN("PE/STAND ALONE PROJECT ID SER2206L")</f>
        <v>PE/STAND ALONE PROJECT ID SER2206L</v>
      </c>
      <c r="H3121" s="2" t="str">
        <f>CLEAN("STH 060")</f>
        <v>STH 060</v>
      </c>
      <c r="I3121" s="2" t="str">
        <f>CLEAN("305")</f>
        <v>305</v>
      </c>
    </row>
    <row r="3122" spans="1:9" x14ac:dyDescent="0.35">
      <c r="A3122" s="2" t="str">
        <f>CLEAN("CLARK")</f>
        <v>CLARK</v>
      </c>
      <c r="B3122" s="2" t="str">
        <f>CLEAN("VILLAGE OF GRANTON")</f>
        <v>VILLAGE OF GRANTON</v>
      </c>
      <c r="C3122" s="2" t="s">
        <v>1734</v>
      </c>
      <c r="D3122" s="2" t="str">
        <f>CLEAN("7855-00-00")</f>
        <v>7855-00-00</v>
      </c>
      <c r="E3122" s="3" t="str">
        <f>CLEAN("V GRANTON  MAIN ST SIDEWALK")</f>
        <v>V GRANTON  MAIN ST SIDEWALK</v>
      </c>
      <c r="F3122" s="3" t="str">
        <f>CLEAN("E 5TH ST TO CONVIENIENCE MART")</f>
        <v>E 5TH ST TO CONVIENIENCE MART</v>
      </c>
      <c r="G3122" s="3" t="str">
        <f>CLEAN("DESIGN/BIKE &amp; PED TRAIL TAP PROGRAM")</f>
        <v>DESIGN/BIKE &amp; PED TRAIL TAP PROGRAM</v>
      </c>
      <c r="H3122" s="2" t="str">
        <f>CLEAN("NON HWY")</f>
        <v>NON HWY</v>
      </c>
      <c r="I3122" s="2" t="str">
        <f>CLEAN("290")</f>
        <v>290</v>
      </c>
    </row>
    <row r="3123" spans="1:9" x14ac:dyDescent="0.35">
      <c r="A3123" s="2" t="str">
        <f>CLEAN("CLARK")</f>
        <v>CLARK</v>
      </c>
      <c r="B3123" s="2" t="str">
        <f>CLEAN("VILLAGE OF GRANTON")</f>
        <v>VILLAGE OF GRANTON</v>
      </c>
      <c r="C3123" s="2" t="s">
        <v>365</v>
      </c>
      <c r="D3123" s="2" t="str">
        <f>CLEAN("7855-00-70")</f>
        <v>7855-00-70</v>
      </c>
      <c r="E3123" s="3" t="str">
        <f>CLEAN("V GRANTON  MAIN ST SIDEWALK")</f>
        <v>V GRANTON  MAIN ST SIDEWALK</v>
      </c>
      <c r="F3123" s="3" t="str">
        <f>CLEAN("E 5TH ST TO CONVIENIENCE MART")</f>
        <v>E 5TH ST TO CONVIENIENCE MART</v>
      </c>
      <c r="G3123" s="3" t="str">
        <f>CLEAN("CONST/BIKE &amp; PED TRAIL TAP PROGRAM")</f>
        <v>CONST/BIKE &amp; PED TRAIL TAP PROGRAM</v>
      </c>
      <c r="H3123" s="2" t="str">
        <f>CLEAN("NON HWY")</f>
        <v>NON HWY</v>
      </c>
      <c r="I3123" s="2" t="str">
        <f>CLEAN("290")</f>
        <v>290</v>
      </c>
    </row>
    <row r="3124" spans="1:9" x14ac:dyDescent="0.35">
      <c r="A3124" s="2" t="str">
        <f>CLEAN("BURNETT")</f>
        <v>BURNETT</v>
      </c>
      <c r="B3124" s="2" t="str">
        <f>CLEAN("VILLAGE OF GRANTSBURG")</f>
        <v>VILLAGE OF GRANTSBURG</v>
      </c>
      <c r="C3124" s="2" t="s">
        <v>1635</v>
      </c>
      <c r="D3124" s="2" t="str">
        <f>CLEAN("8364-00-00")</f>
        <v>8364-00-00</v>
      </c>
      <c r="E3124" s="3" t="str">
        <f>CLEAN("V GRANTSBURG  E JAMES &amp; S JOHNSON")</f>
        <v>V GRANTSBURG  E JAMES &amp; S JOHNSON</v>
      </c>
      <c r="F3124" s="3" t="str">
        <f>CLEAN("S ROBERT ST TO STH 70")</f>
        <v>S ROBERT ST TO STH 70</v>
      </c>
      <c r="G3124" s="3" t="str">
        <f>CLEAN("DESIGN - FULL PS&amp;E/PVRPLA")</f>
        <v>DESIGN - FULL PS&amp;E/PVRPLA</v>
      </c>
      <c r="H3124" s="2" t="str">
        <f>CLEAN("LOC STR")</f>
        <v>LOC STR</v>
      </c>
      <c r="I3124" s="2" t="str">
        <f t="shared" ref="I3124:I3129" si="472">CLEAN("206")</f>
        <v>206</v>
      </c>
    </row>
    <row r="3125" spans="1:9" x14ac:dyDescent="0.35">
      <c r="A3125" s="2" t="str">
        <f>CLEAN("BURNETT")</f>
        <v>BURNETT</v>
      </c>
      <c r="B3125" s="2" t="str">
        <f>CLEAN("VILLAGE OF GRANTSBURG")</f>
        <v>VILLAGE OF GRANTSBURG</v>
      </c>
      <c r="C3125" s="2" t="s">
        <v>1308</v>
      </c>
      <c r="D3125" s="2" t="str">
        <f>CLEAN("8364-00-70")</f>
        <v>8364-00-70</v>
      </c>
      <c r="E3125" s="3" t="str">
        <f>CLEAN("V GRANTSBURG  E JAMES &amp; S JOHNSON")</f>
        <v>V GRANTSBURG  E JAMES &amp; S JOHNSON</v>
      </c>
      <c r="F3125" s="3" t="str">
        <f>CLEAN("S ROBERT ST TO STH 70")</f>
        <v>S ROBERT ST TO STH 70</v>
      </c>
      <c r="G3125" s="3" t="str">
        <f>CLEAN("CONSTRUCTION/PVRPLA")</f>
        <v>CONSTRUCTION/PVRPLA</v>
      </c>
      <c r="H3125" s="2" t="str">
        <f>CLEAN("LOC STR")</f>
        <v>LOC STR</v>
      </c>
      <c r="I3125" s="2" t="str">
        <f t="shared" si="472"/>
        <v>206</v>
      </c>
    </row>
    <row r="3126" spans="1:9" x14ac:dyDescent="0.35">
      <c r="A3126" s="2" t="str">
        <f>CLEAN("MILWAUKEE")</f>
        <v>MILWAUKEE</v>
      </c>
      <c r="B3126" s="2" t="str">
        <f>CLEAN("VILLAGE OF GREENDALE")</f>
        <v>VILLAGE OF GREENDALE</v>
      </c>
      <c r="C3126" s="2" t="s">
        <v>2975</v>
      </c>
      <c r="D3126" s="2" t="str">
        <f>CLEAN("2565-02-02")</f>
        <v>2565-02-02</v>
      </c>
      <c r="E3126" s="3" t="str">
        <f>CLEAN("V GREENDALE  LIGHTING CONVERSION")</f>
        <v>V GREENDALE  LIGHTING CONVERSION</v>
      </c>
      <c r="F3126" s="3" t="str">
        <f>CLEAN("4 VILLAGE STREETS")</f>
        <v>4 VILLAGE STREETS</v>
      </c>
      <c r="G3126" s="3" t="str">
        <f>CLEAN("PE/STATE REVIEW ONLY")</f>
        <v>PE/STATE REVIEW ONLY</v>
      </c>
      <c r="H3126" s="2" t="str">
        <f>CLEAN("VAR HWY")</f>
        <v>VAR HWY</v>
      </c>
      <c r="I3126" s="2" t="str">
        <f t="shared" si="472"/>
        <v>206</v>
      </c>
    </row>
    <row r="3127" spans="1:9" x14ac:dyDescent="0.35">
      <c r="A3127" s="2" t="str">
        <f>CLEAN("MILWAUKEE")</f>
        <v>MILWAUKEE</v>
      </c>
      <c r="B3127" s="2" t="str">
        <f>CLEAN("VILLAGE OF GREENDALE")</f>
        <v>VILLAGE OF GREENDALE</v>
      </c>
      <c r="C3127" s="2" t="s">
        <v>744</v>
      </c>
      <c r="D3127" s="2" t="str">
        <f>CLEAN("2365-05-71")</f>
        <v>2365-05-71</v>
      </c>
      <c r="E3127" s="3" t="str">
        <f>CLEAN("V GREENDALE W GRANGE AVENUE")</f>
        <v>V GREENDALE W GRANGE AVENUE</v>
      </c>
      <c r="F3127" s="3" t="str">
        <f>CLEAN("S 76TH STREET TO S 84TH STREET")</f>
        <v>S 76TH STREET TO S 84TH STREET</v>
      </c>
      <c r="G3127" s="3" t="str">
        <f>CLEAN("CONST/RECONDITION")</f>
        <v>CONST/RECONDITION</v>
      </c>
      <c r="H3127" s="2" t="str">
        <f>CLEAN("LOC STR")</f>
        <v>LOC STR</v>
      </c>
      <c r="I3127" s="2" t="str">
        <f t="shared" si="472"/>
        <v>206</v>
      </c>
    </row>
    <row r="3128" spans="1:9" x14ac:dyDescent="0.35">
      <c r="A3128" s="2" t="str">
        <f>CLEAN("MILWAUKEE")</f>
        <v>MILWAUKEE</v>
      </c>
      <c r="B3128" s="2" t="str">
        <f>CLEAN("VILLAGE OF GREENDALE")</f>
        <v>VILLAGE OF GREENDALE</v>
      </c>
      <c r="C3128" s="2" t="s">
        <v>1057</v>
      </c>
      <c r="D3128" s="2" t="str">
        <f>CLEAN("2565-02-72")</f>
        <v>2565-02-72</v>
      </c>
      <c r="E3128" s="3" t="str">
        <f>CLEAN("V GREENDALE  LIGHTING CONVERSION")</f>
        <v>V GREENDALE  LIGHTING CONVERSION</v>
      </c>
      <c r="F3128" s="3" t="str">
        <f>CLEAN("4 VILLAGE STREETS")</f>
        <v>4 VILLAGE STREETS</v>
      </c>
      <c r="G3128" s="3" t="str">
        <f>CLEAN("CONST/STREET LIGHTING")</f>
        <v>CONST/STREET LIGHTING</v>
      </c>
      <c r="H3128" s="2" t="str">
        <f>CLEAN("VAR HWY")</f>
        <v>VAR HWY</v>
      </c>
      <c r="I3128" s="2" t="str">
        <f t="shared" si="472"/>
        <v>206</v>
      </c>
    </row>
    <row r="3129" spans="1:9" x14ac:dyDescent="0.35">
      <c r="A3129" s="2" t="str">
        <f>CLEAN("MILWAUKEE")</f>
        <v>MILWAUKEE</v>
      </c>
      <c r="B3129" s="2" t="str">
        <f>CLEAN("VILLAGE OF GREENDALE")</f>
        <v>VILLAGE OF GREENDALE</v>
      </c>
      <c r="C3129" s="2" t="s">
        <v>2977</v>
      </c>
      <c r="D3129" s="2" t="str">
        <f>CLEAN("2979-05-00")</f>
        <v>2979-05-00</v>
      </c>
      <c r="E3129" s="3" t="str">
        <f>CLEAN("V GREENDALE  ST LIGHTING CONVERSION")</f>
        <v>V GREENDALE  ST LIGHTING CONVERSION</v>
      </c>
      <c r="F3129" s="3" t="str">
        <f>CLEAN("7 VILLAGE STREETS")</f>
        <v>7 VILLAGE STREETS</v>
      </c>
      <c r="G3129" s="3" t="str">
        <f>CLEAN("PE/STATE REVIEW ONLY")</f>
        <v>PE/STATE REVIEW ONLY</v>
      </c>
      <c r="H3129" s="2" t="str">
        <f>CLEAN("VAR HWY")</f>
        <v>VAR HWY</v>
      </c>
      <c r="I3129" s="2" t="str">
        <f t="shared" si="472"/>
        <v>206</v>
      </c>
    </row>
    <row r="3130" spans="1:9" x14ac:dyDescent="0.35">
      <c r="A3130" s="2" t="str">
        <f>CLEAN("OUTAGAMIE")</f>
        <v>OUTAGAMIE</v>
      </c>
      <c r="B3130" s="2" t="str">
        <f>CLEAN("VILLAGE OF GREENVILLE")</f>
        <v>VILLAGE OF GREENVILLE</v>
      </c>
      <c r="C3130" s="2" t="s">
        <v>569</v>
      </c>
      <c r="D3130" s="2" t="str">
        <f>CLEAN("6430-20-71")</f>
        <v>6430-20-71</v>
      </c>
      <c r="E3130" s="3" t="str">
        <f>CLEAN("STH 96 - STH 15")</f>
        <v>STH 96 - STH 15</v>
      </c>
      <c r="F3130" s="3" t="str">
        <f>CLEAN("SCHOOL ROAD INTERSECTION")</f>
        <v>SCHOOL ROAD INTERSECTION</v>
      </c>
      <c r="G3130" s="3" t="str">
        <f>CLEAN("CONST/HSIP INTERSECTION")</f>
        <v>CONST/HSIP INTERSECTION</v>
      </c>
      <c r="H3130" s="2" t="str">
        <f>CLEAN("STH 076")</f>
        <v>STH 076</v>
      </c>
      <c r="I3130" s="2" t="str">
        <f t="shared" ref="I3130:I3135" si="473">CLEAN("303")</f>
        <v>303</v>
      </c>
    </row>
    <row r="3131" spans="1:9" x14ac:dyDescent="0.35">
      <c r="A3131" s="2" t="str">
        <f>CLEAN("OUTAGAMIE")</f>
        <v>OUTAGAMIE</v>
      </c>
      <c r="B3131" s="2" t="str">
        <f>CLEAN("VILLAGE OF GREENVILLE")</f>
        <v>VILLAGE OF GREENVILLE</v>
      </c>
      <c r="C3131" s="2" t="s">
        <v>1402</v>
      </c>
      <c r="D3131" s="2" t="str">
        <f>CLEAN("6517-16-00")</f>
        <v>6517-16-00</v>
      </c>
      <c r="E3131" s="3" t="str">
        <f>CLEAN("STH 15 - CTH JJ")</f>
        <v>STH 15 - CTH JJ</v>
      </c>
      <c r="F3131" s="3" t="str">
        <f>CLEAN("EVERGLADE ROAD - CTH JJ")</f>
        <v>EVERGLADE ROAD - CTH JJ</v>
      </c>
      <c r="G3131" s="3" t="str">
        <f>CLEAN("DESIGN")</f>
        <v>DESIGN</v>
      </c>
      <c r="H3131" s="2" t="str">
        <f>CLEAN("STH 076")</f>
        <v>STH 076</v>
      </c>
      <c r="I3131" s="2" t="str">
        <f t="shared" si="473"/>
        <v>303</v>
      </c>
    </row>
    <row r="3132" spans="1:9" x14ac:dyDescent="0.35">
      <c r="A3132" s="2" t="str">
        <f>CLEAN("OUTAGAMIE")</f>
        <v>OUTAGAMIE</v>
      </c>
      <c r="B3132" s="2" t="str">
        <f>CLEAN("VILLAGE OF GREENVILLE")</f>
        <v>VILLAGE OF GREENVILLE</v>
      </c>
      <c r="C3132" s="2" t="s">
        <v>279</v>
      </c>
      <c r="D3132" s="2" t="str">
        <f>CLEAN("6517-16-71")</f>
        <v>6517-16-71</v>
      </c>
      <c r="E3132" s="3" t="str">
        <f>CLEAN("STH 15 - CTH JJ")</f>
        <v>STH 15 - CTH JJ</v>
      </c>
      <c r="F3132" s="3" t="str">
        <f>CLEAN("EVERGLADE ROAD - CTH JJ")</f>
        <v>EVERGLADE ROAD - CTH JJ</v>
      </c>
      <c r="G3132" s="3" t="str">
        <f>CLEAN("CONST OPS/RECST")</f>
        <v>CONST OPS/RECST</v>
      </c>
      <c r="H3132" s="2" t="str">
        <f>CLEAN("STH 076")</f>
        <v>STH 076</v>
      </c>
      <c r="I3132" s="2" t="str">
        <f t="shared" si="473"/>
        <v>303</v>
      </c>
    </row>
    <row r="3133" spans="1:9" x14ac:dyDescent="0.35">
      <c r="A3133" s="2" t="str">
        <f>CLEAN("MILWAUKEE")</f>
        <v>MILWAUKEE</v>
      </c>
      <c r="B3133" s="2" t="str">
        <f>CLEAN("VILLAGE OF HALES CORNERS")</f>
        <v>VILLAGE OF HALES CORNERS</v>
      </c>
      <c r="C3133" s="2" t="s">
        <v>1005</v>
      </c>
      <c r="D3133" s="2" t="str">
        <f>CLEAN("2120-14-70")</f>
        <v>2120-14-70</v>
      </c>
      <c r="E3133" s="3" t="str">
        <f>CLEAN("W FOREST HOME AVENUE (STH 24)")</f>
        <v>W FOREST HOME AVENUE (STH 24)</v>
      </c>
      <c r="F3133" s="3" t="str">
        <f>CLEAN("USH 45 TO 45TH STREET")</f>
        <v>USH 45 TO 45TH STREET</v>
      </c>
      <c r="G3133" s="3" t="str">
        <f>CLEAN("CONST/RESURFACING")</f>
        <v>CONST/RESURFACING</v>
      </c>
      <c r="H3133" s="2" t="str">
        <f>CLEAN("STH 024")</f>
        <v>STH 024</v>
      </c>
      <c r="I3133" s="2" t="str">
        <f t="shared" si="473"/>
        <v>303</v>
      </c>
    </row>
    <row r="3134" spans="1:9" x14ac:dyDescent="0.35">
      <c r="A3134" s="2" t="str">
        <f>CLEAN("MILWAUKEE")</f>
        <v>MILWAUKEE</v>
      </c>
      <c r="B3134" s="2" t="str">
        <f>CLEAN("VILLAGE OF HALES CORNERS")</f>
        <v>VILLAGE OF HALES CORNERS</v>
      </c>
      <c r="C3134" s="2" t="s">
        <v>996</v>
      </c>
      <c r="D3134" s="2" t="str">
        <f>CLEAN("2120-18-70")</f>
        <v>2120-18-70</v>
      </c>
      <c r="E3134" s="3" t="str">
        <f>CLEAN("HALES CORNERS - MILWAUKEE")</f>
        <v>HALES CORNERS - MILWAUKEE</v>
      </c>
      <c r="F3134" s="3" t="str">
        <f>CLEAN("USH 45 TO 45TH STREET")</f>
        <v>USH 45 TO 45TH STREET</v>
      </c>
      <c r="G3134" s="3" t="str">
        <f>CLEAN("CONST/RESURFACE")</f>
        <v>CONST/RESURFACE</v>
      </c>
      <c r="H3134" s="2" t="str">
        <f>CLEAN("STH 024")</f>
        <v>STH 024</v>
      </c>
      <c r="I3134" s="2" t="str">
        <f t="shared" si="473"/>
        <v>303</v>
      </c>
    </row>
    <row r="3135" spans="1:9" x14ac:dyDescent="0.35">
      <c r="A3135" s="2" t="str">
        <f>CLEAN("MILWAUKEE")</f>
        <v>MILWAUKEE</v>
      </c>
      <c r="B3135" s="2" t="str">
        <f>CLEAN("VILLAGE OF HALES CORNERS")</f>
        <v>VILLAGE OF HALES CORNERS</v>
      </c>
      <c r="C3135" s="2" t="s">
        <v>999</v>
      </c>
      <c r="D3135" s="2" t="str">
        <f>CLEAN("2380-02-70")</f>
        <v>2380-02-70</v>
      </c>
      <c r="E3135" s="3" t="str">
        <f>CLEAN("JANESVILLE ROAD (STH 24)")</f>
        <v>JANESVILLE ROAD (STH 24)</v>
      </c>
      <c r="F3135" s="3" t="str">
        <f>CLEAN("WAUKESHA COUNTY LINE TO 108TH ST")</f>
        <v>WAUKESHA COUNTY LINE TO 108TH ST</v>
      </c>
      <c r="G3135" s="3" t="str">
        <f>CLEAN("CONST/RESURFACE")</f>
        <v>CONST/RESURFACE</v>
      </c>
      <c r="H3135" s="2" t="str">
        <f>CLEAN("STH 024")</f>
        <v>STH 024</v>
      </c>
      <c r="I3135" s="2" t="str">
        <f t="shared" si="473"/>
        <v>303</v>
      </c>
    </row>
    <row r="3136" spans="1:9" x14ac:dyDescent="0.35">
      <c r="A3136" s="2" t="str">
        <f>CLEAN("ST. CROIX")</f>
        <v>ST. CROIX</v>
      </c>
      <c r="B3136" s="2" t="str">
        <f>CLEAN("VILLAGE OF HAMMOND")</f>
        <v>VILLAGE OF HAMMOND</v>
      </c>
      <c r="C3136" s="2" t="s">
        <v>1733</v>
      </c>
      <c r="D3136" s="2" t="str">
        <f>CLEAN("8946-00-00")</f>
        <v>8946-00-00</v>
      </c>
      <c r="E3136" s="3" t="str">
        <f>CLEAN("V HAMMOND  MULTI USE TRAIL EXT")</f>
        <v>V HAMMOND  MULTI USE TRAIL EXT</v>
      </c>
      <c r="F3136" s="3" t="str">
        <f>CLEAN("VARIOUS STREETS")</f>
        <v>VARIOUS STREETS</v>
      </c>
      <c r="G3136" s="3" t="str">
        <f>CLEAN("DESIGN/BIKE &amp; PED TRAIL")</f>
        <v>DESIGN/BIKE &amp; PED TRAIL</v>
      </c>
      <c r="H3136" s="2" t="str">
        <f>CLEAN("NON HWY")</f>
        <v>NON HWY</v>
      </c>
      <c r="I3136" s="2" t="str">
        <f>CLEAN("290")</f>
        <v>290</v>
      </c>
    </row>
    <row r="3137" spans="1:9" x14ac:dyDescent="0.35">
      <c r="A3137" s="2" t="str">
        <f>CLEAN("ST. CROIX")</f>
        <v>ST. CROIX</v>
      </c>
      <c r="B3137" s="2" t="str">
        <f>CLEAN("VILLAGE OF HAMMOND")</f>
        <v>VILLAGE OF HAMMOND</v>
      </c>
      <c r="C3137" s="2" t="s">
        <v>1118</v>
      </c>
      <c r="D3137" s="2" t="str">
        <f>CLEAN("8946-00-70")</f>
        <v>8946-00-70</v>
      </c>
      <c r="E3137" s="3" t="str">
        <f>CLEAN("V HAMMOND  MULTI USE TRAIL EXT")</f>
        <v>V HAMMOND  MULTI USE TRAIL EXT</v>
      </c>
      <c r="F3137" s="3" t="str">
        <f>CLEAN("VARIOUS STREETS")</f>
        <v>VARIOUS STREETS</v>
      </c>
      <c r="G3137" s="3" t="str">
        <f>CLEAN("CONSTR/BIKE &amp; PED TRAIL")</f>
        <v>CONSTR/BIKE &amp; PED TRAIL</v>
      </c>
      <c r="H3137" s="2" t="str">
        <f>CLEAN("NON HWY")</f>
        <v>NON HWY</v>
      </c>
      <c r="I3137" s="2" t="str">
        <f>CLEAN("290")</f>
        <v>290</v>
      </c>
    </row>
    <row r="3138" spans="1:9" x14ac:dyDescent="0.35">
      <c r="A3138" s="2" t="str">
        <f>CLEAN("CALUMET")</f>
        <v>CALUMET</v>
      </c>
      <c r="B3138" s="2" t="str">
        <f>CLEAN("VILLAGE OF HARRISON")</f>
        <v>VILLAGE OF HARRISON</v>
      </c>
      <c r="C3138" s="2" t="s">
        <v>210</v>
      </c>
      <c r="D3138" s="2" t="str">
        <f>CLEAN("1500-49-60")</f>
        <v>1500-49-60</v>
      </c>
      <c r="E3138" s="3" t="str">
        <f>CLEAN("MENASHA - HARRISON")</f>
        <v>MENASHA - HARRISON</v>
      </c>
      <c r="F3138" s="3" t="str">
        <f>CLEAN("STH 114 - FIRE LANE 7")</f>
        <v>STH 114 - FIRE LANE 7</v>
      </c>
      <c r="G3138" s="3" t="str">
        <f>CLEAN("CONST OPS/PSRS20")</f>
        <v>CONST OPS/PSRS20</v>
      </c>
      <c r="H3138" s="2" t="str">
        <f>CLEAN("USH 010")</f>
        <v>USH 010</v>
      </c>
      <c r="I3138" s="2" t="str">
        <f>CLEAN("303")</f>
        <v>303</v>
      </c>
    </row>
    <row r="3139" spans="1:9" x14ac:dyDescent="0.35">
      <c r="A3139" s="2" t="str">
        <f>CLEAN("CALUMET")</f>
        <v>CALUMET</v>
      </c>
      <c r="B3139" s="2" t="str">
        <f>CLEAN("VILLAGE OF HARRISON")</f>
        <v>VILLAGE OF HARRISON</v>
      </c>
      <c r="C3139" s="2" t="s">
        <v>3073</v>
      </c>
      <c r="D3139" s="2" t="str">
        <f>CLEAN("4479-04-00")</f>
        <v>4479-04-00</v>
      </c>
      <c r="E3139" s="3" t="str">
        <f>CLEAN("V HARRISON  FEASIBILITY STUDY")</f>
        <v>V HARRISON  FEASIBILITY STUDY</v>
      </c>
      <c r="F3139" s="3" t="str">
        <f>CLEAN("LOCAL ROADS")</f>
        <v>LOCAL ROADS</v>
      </c>
      <c r="G3139" s="3" t="str">
        <f>CLEAN("PLAN/MISC")</f>
        <v>PLAN/MISC</v>
      </c>
      <c r="H3139" s="2" t="str">
        <f>CLEAN("NON HWY")</f>
        <v>NON HWY</v>
      </c>
      <c r="I3139" s="2" t="str">
        <f>CLEAN("290")</f>
        <v>290</v>
      </c>
    </row>
    <row r="3140" spans="1:9" x14ac:dyDescent="0.35">
      <c r="A3140" s="2" t="str">
        <f>CLEAN("CALUMET")</f>
        <v>CALUMET</v>
      </c>
      <c r="B3140" s="2" t="str">
        <f>CLEAN("VILLAGE OF HARRISON")</f>
        <v>VILLAGE OF HARRISON</v>
      </c>
      <c r="C3140" s="2" t="s">
        <v>2385</v>
      </c>
      <c r="D3140" s="2" t="str">
        <f>CLEAN("4479-06-00")</f>
        <v>4479-06-00</v>
      </c>
      <c r="E3140" s="3" t="str">
        <f>CLEAN("V HARRISON  OLD HIGHWAY ROAD TRAIL")</f>
        <v>V HARRISON  OLD HIGHWAY ROAD TRAIL</v>
      </c>
      <c r="F3140" s="3" t="str">
        <f>CLEAN("LAKE PARK ROAD - STH 114")</f>
        <v>LAKE PARK ROAD - STH 114</v>
      </c>
      <c r="G3140" s="3" t="str">
        <f>CLEAN("DSGN/FULL PSE/MISC")</f>
        <v>DSGN/FULL PSE/MISC</v>
      </c>
      <c r="H3140" s="2" t="str">
        <f>CLEAN("NON HWY")</f>
        <v>NON HWY</v>
      </c>
      <c r="I3140" s="2" t="str">
        <f>CLEAN("290")</f>
        <v>290</v>
      </c>
    </row>
    <row r="3141" spans="1:9" x14ac:dyDescent="0.35">
      <c r="A3141" s="2" t="str">
        <f>CLEAN("MARATHON")</f>
        <v>MARATHON</v>
      </c>
      <c r="B3141" s="2" t="str">
        <f>CLEAN("VILLAGE OF HATLEY")</f>
        <v>VILLAGE OF HATLEY</v>
      </c>
      <c r="C3141" s="2" t="s">
        <v>1723</v>
      </c>
      <c r="D3141" s="2" t="str">
        <f>CLEAN("9531-03-00")</f>
        <v>9531-03-00</v>
      </c>
      <c r="E3141" s="3" t="str">
        <f>CLEAN("V HATLEY  COLUMBUS STREET")</f>
        <v>V HATLEY  COLUMBUS STREET</v>
      </c>
      <c r="F3141" s="3" t="str">
        <f>CLEAN("PLOVER RIVER BRIDGE  P-37-0707")</f>
        <v>PLOVER RIVER BRIDGE  P-37-0707</v>
      </c>
      <c r="G3141" s="3" t="str">
        <f>CLEAN("DESIGN OVERSITE/REPLACEMENT")</f>
        <v>DESIGN OVERSITE/REPLACEMENT</v>
      </c>
      <c r="H3141" s="2" t="str">
        <f>CLEAN("LOC STR")</f>
        <v>LOC STR</v>
      </c>
      <c r="I3141" s="2" t="str">
        <f>CLEAN("205")</f>
        <v>205</v>
      </c>
    </row>
    <row r="3142" spans="1:9" x14ac:dyDescent="0.35">
      <c r="A3142" s="2" t="str">
        <f>CLEAN("MARATHON")</f>
        <v>MARATHON</v>
      </c>
      <c r="B3142" s="2" t="str">
        <f>CLEAN("VILLAGE OF HATLEY")</f>
        <v>VILLAGE OF HATLEY</v>
      </c>
      <c r="C3142" s="2" t="s">
        <v>917</v>
      </c>
      <c r="D3142" s="2" t="str">
        <f>CLEAN("9531-03-70")</f>
        <v>9531-03-70</v>
      </c>
      <c r="E3142" s="3" t="str">
        <f>CLEAN("V HATLEY  COLUMBUS STREET")</f>
        <v>V HATLEY  COLUMBUS STREET</v>
      </c>
      <c r="F3142" s="3" t="str">
        <f>CLEAN("PLOVER RIVER BRIDGE  B-37-0478")</f>
        <v>PLOVER RIVER BRIDGE  B-37-0478</v>
      </c>
      <c r="G3142" s="3" t="str">
        <f>CLEAN("CONST/REPLACEMENT")</f>
        <v>CONST/REPLACEMENT</v>
      </c>
      <c r="H3142" s="2" t="str">
        <f>CLEAN("LOC STR")</f>
        <v>LOC STR</v>
      </c>
      <c r="I3142" s="2" t="str">
        <f>CLEAN("205")</f>
        <v>205</v>
      </c>
    </row>
    <row r="3143" spans="1:9" x14ac:dyDescent="0.35">
      <c r="A3143" s="2" t="str">
        <f>CLEAN("RUSK")</f>
        <v>RUSK</v>
      </c>
      <c r="B3143" s="2" t="str">
        <f>CLEAN("VILLAGE OF HAWKINS")</f>
        <v>VILLAGE OF HAWKINS</v>
      </c>
      <c r="C3143" s="2" t="s">
        <v>1354</v>
      </c>
      <c r="D3143" s="2" t="str">
        <f>CLEAN("1580-04-73")</f>
        <v>1580-04-73</v>
      </c>
      <c r="E3143" s="3" t="str">
        <f>CLEAN("LADYSMITH - PRENTICE")</f>
        <v>LADYSMITH - PRENTICE</v>
      </c>
      <c r="F3143" s="3" t="str">
        <f>CLEAN("PRENTICE STREET TO RUSK/PRICE CO LN")</f>
        <v>PRENTICE STREET TO RUSK/PRICE CO LN</v>
      </c>
      <c r="G3143" s="3" t="str">
        <f>CLEAN("CONSTRUCTION/RESURFACE")</f>
        <v>CONSTRUCTION/RESURFACE</v>
      </c>
      <c r="H3143" s="2" t="str">
        <f>CLEAN("USH 008")</f>
        <v>USH 008</v>
      </c>
      <c r="I3143" s="2" t="str">
        <f>CLEAN("303")</f>
        <v>303</v>
      </c>
    </row>
    <row r="3144" spans="1:9" x14ac:dyDescent="0.35">
      <c r="A3144" s="2" t="str">
        <f>CLEAN("GRANT")</f>
        <v>GRANT</v>
      </c>
      <c r="B3144" s="2" t="str">
        <f>CLEAN("VILLAGE OF HAZEL GREEN")</f>
        <v>VILLAGE OF HAZEL GREEN</v>
      </c>
      <c r="C3144" s="2" t="s">
        <v>1371</v>
      </c>
      <c r="D3144" s="2" t="str">
        <f>CLEAN("1706-06-71")</f>
        <v>1706-06-71</v>
      </c>
      <c r="E3144" s="3" t="str">
        <f>CLEAN("DUBUQUE - SHULLSBURG")</f>
        <v>DUBUQUE - SHULLSBURG</v>
      </c>
      <c r="F3144" s="3" t="str">
        <f>CLEAN("V HAZEL GREEN W LIMIT TO V N LIMIT")</f>
        <v>V HAZEL GREEN W LIMIT TO V N LIMIT</v>
      </c>
      <c r="G3144" s="3" t="str">
        <f>CLEAN("CONSTRUCTION/RSRF30")</f>
        <v>CONSTRUCTION/RSRF30</v>
      </c>
      <c r="H3144" s="2" t="str">
        <f>CLEAN("STH 011")</f>
        <v>STH 011</v>
      </c>
      <c r="I3144" s="2" t="str">
        <f>CLEAN("303")</f>
        <v>303</v>
      </c>
    </row>
    <row r="3145" spans="1:9" x14ac:dyDescent="0.35">
      <c r="A3145" s="2" t="str">
        <f>CLEAN("GRANT")</f>
        <v>GRANT</v>
      </c>
      <c r="B3145" s="2" t="str">
        <f>CLEAN("VILLAGE OF HAZEL GREEN")</f>
        <v>VILLAGE OF HAZEL GREEN</v>
      </c>
      <c r="C3145" s="2" t="s">
        <v>1369</v>
      </c>
      <c r="D3145" s="2" t="str">
        <f>CLEAN("5330-02-73")</f>
        <v>5330-02-73</v>
      </c>
      <c r="E3145" s="3" t="str">
        <f>CLEAN("HAZEL GREEN - PLATTEVILLE")</f>
        <v>HAZEL GREEN - PLATTEVILLE</v>
      </c>
      <c r="F3145" s="3" t="str">
        <f>CLEAN("ILLINOIS STATE LINE TO STH 11")</f>
        <v>ILLINOIS STATE LINE TO STH 11</v>
      </c>
      <c r="G3145" s="3" t="str">
        <f>CLEAN("CONSTRUCTION/RSRF20")</f>
        <v>CONSTRUCTION/RSRF20</v>
      </c>
      <c r="H3145" s="2" t="str">
        <f>CLEAN("STH 080")</f>
        <v>STH 080</v>
      </c>
      <c r="I3145" s="2" t="str">
        <f>CLEAN("303")</f>
        <v>303</v>
      </c>
    </row>
    <row r="3146" spans="1:9" x14ac:dyDescent="0.35">
      <c r="A3146" s="2" t="str">
        <f>CLEAN("GRANT")</f>
        <v>GRANT</v>
      </c>
      <c r="B3146" s="2" t="str">
        <f>CLEAN("VILLAGE OF HAZEL GREEN")</f>
        <v>VILLAGE OF HAZEL GREEN</v>
      </c>
      <c r="C3146" s="2" t="s">
        <v>1412</v>
      </c>
      <c r="D3146" s="2" t="str">
        <f>CLEAN("5891-00-06")</f>
        <v>5891-00-06</v>
      </c>
      <c r="E3146" s="3" t="str">
        <f>CLEAN("V HAZEL GREEN  SIDEWALK")</f>
        <v>V HAZEL GREEN  SIDEWALK</v>
      </c>
      <c r="F3146" s="3" t="str">
        <f>CLEAN("OAK STREET TO PINE STREET")</f>
        <v>OAK STREET TO PINE STREET</v>
      </c>
      <c r="G3146" s="3" t="str">
        <f>CLEAN("DESIGN - FULL PS&amp;E")</f>
        <v>DESIGN - FULL PS&amp;E</v>
      </c>
      <c r="H3146" s="2" t="str">
        <f>CLEAN("NON HWY")</f>
        <v>NON HWY</v>
      </c>
      <c r="I3146" s="2" t="str">
        <f>CLEAN("290")</f>
        <v>290</v>
      </c>
    </row>
    <row r="3147" spans="1:9" x14ac:dyDescent="0.35">
      <c r="A3147" s="2" t="str">
        <f>CLEAN("GRANT")</f>
        <v>GRANT</v>
      </c>
      <c r="B3147" s="2" t="str">
        <f>CLEAN("VILLAGE OF HAZEL GREEN")</f>
        <v>VILLAGE OF HAZEL GREEN</v>
      </c>
      <c r="C3147" s="2" t="s">
        <v>3037</v>
      </c>
      <c r="D3147" s="2" t="str">
        <f>CLEAN("5891-00-76")</f>
        <v>5891-00-76</v>
      </c>
      <c r="E3147" s="3" t="str">
        <f>CLEAN("VHAZEL GREEN  SIDEWALK")</f>
        <v>VHAZEL GREEN  SIDEWALK</v>
      </c>
      <c r="F3147" s="3" t="str">
        <f>CLEAN("OAK STREET TO PINE STREET")</f>
        <v>OAK STREET TO PINE STREET</v>
      </c>
      <c r="G3147" s="3" t="str">
        <f>CLEAN("PEDESTRIAN SIDEWALK")</f>
        <v>PEDESTRIAN SIDEWALK</v>
      </c>
      <c r="H3147" s="2" t="str">
        <f>CLEAN("NON HWY")</f>
        <v>NON HWY</v>
      </c>
      <c r="I3147" s="2" t="str">
        <f>CLEAN("290")</f>
        <v>290</v>
      </c>
    </row>
    <row r="3148" spans="1:9" x14ac:dyDescent="0.35">
      <c r="A3148" s="2" t="str">
        <f>CLEAN("IOWA")</f>
        <v>IOWA</v>
      </c>
      <c r="B3148" s="2" t="str">
        <f>CLEAN("VILLAGE OF HIGHLAND")</f>
        <v>VILLAGE OF HIGHLAND</v>
      </c>
      <c r="C3148" s="2" t="s">
        <v>334</v>
      </c>
      <c r="D3148" s="2" t="str">
        <f>CLEAN("5939-00-72")</f>
        <v>5939-00-72</v>
      </c>
      <c r="E3148" s="3" t="str">
        <f>CLEAN("COBB - AVOCA")</f>
        <v>COBB - AVOCA</v>
      </c>
      <c r="F3148" s="3" t="str">
        <f>CLEAN("KENNEDY STREET TO 0.27 MILE N CTH I")</f>
        <v>KENNEDY STREET TO 0.27 MILE N CTH I</v>
      </c>
      <c r="G3148" s="3" t="str">
        <f>CLEAN("CONST/ MILL AND OVERLAY")</f>
        <v>CONST/ MILL AND OVERLAY</v>
      </c>
      <c r="H3148" s="2" t="str">
        <f>CLEAN("STH 080")</f>
        <v>STH 080</v>
      </c>
      <c r="I3148" s="2" t="str">
        <f>CLEAN("303")</f>
        <v>303</v>
      </c>
    </row>
    <row r="3149" spans="1:9" x14ac:dyDescent="0.35">
      <c r="A3149" s="2" t="str">
        <f>CLEAN("CALUMET")</f>
        <v>CALUMET</v>
      </c>
      <c r="B3149" s="2" t="str">
        <f>CLEAN("VILLAGE OF HILBERT")</f>
        <v>VILLAGE OF HILBERT</v>
      </c>
      <c r="C3149" s="2" t="s">
        <v>309</v>
      </c>
      <c r="D3149" s="2" t="str">
        <f>CLEAN("4085-66-71")</f>
        <v>4085-66-71</v>
      </c>
      <c r="E3149" s="3" t="str">
        <f>CLEAN("CHILTON-HILBERT")</f>
        <v>CHILTON-HILBERT</v>
      </c>
      <c r="F3149" s="3" t="str">
        <f>CLEAN("BREED ST-STH 114")</f>
        <v>BREED ST-STH 114</v>
      </c>
      <c r="G3149" s="3" t="str">
        <f>CLEAN("CONST OPS/RSRF30/HSIP")</f>
        <v>CONST OPS/RSRF30/HSIP</v>
      </c>
      <c r="H3149" s="2" t="str">
        <f>CLEAN("STH 032")</f>
        <v>STH 032</v>
      </c>
      <c r="I3149" s="2" t="str">
        <f>CLEAN("303")</f>
        <v>303</v>
      </c>
    </row>
    <row r="3150" spans="1:9" x14ac:dyDescent="0.35">
      <c r="A3150" s="2" t="str">
        <f>CLEAN("LA CROSSE")</f>
        <v>LA CROSSE</v>
      </c>
      <c r="B3150" s="2" t="str">
        <f>CLEAN("VILLAGE OF HOLMEN")</f>
        <v>VILLAGE OF HOLMEN</v>
      </c>
      <c r="C3150" s="2" t="s">
        <v>2055</v>
      </c>
      <c r="D3150" s="2" t="str">
        <f>CLEAN("7269-00-03")</f>
        <v>7269-00-03</v>
      </c>
      <c r="E3150" s="3" t="str">
        <f>CLEAN("V HOLMEN  HOLLAND BLUFF TRAIL")</f>
        <v>V HOLMEN  HOLLAND BLUFF TRAIL</v>
      </c>
      <c r="F3150" s="3" t="str">
        <f>CLEAN("CTH MH TO BLUFFVIEW COURT")</f>
        <v>CTH MH TO BLUFFVIEW COURT</v>
      </c>
      <c r="G3150" s="3" t="str">
        <f>CLEAN("DESIGN/PLAN CHECK REVIEW")</f>
        <v>DESIGN/PLAN CHECK REVIEW</v>
      </c>
      <c r="H3150" s="2" t="str">
        <f>CLEAN("NON HWY")</f>
        <v>NON HWY</v>
      </c>
      <c r="I3150" s="2" t="str">
        <f>CLEAN("290")</f>
        <v>290</v>
      </c>
    </row>
    <row r="3151" spans="1:9" x14ac:dyDescent="0.35">
      <c r="A3151" s="2" t="str">
        <f t="shared" ref="A3151:A3156" si="474">CLEAN("BROWN")</f>
        <v>BROWN</v>
      </c>
      <c r="B3151" s="2" t="str">
        <f t="shared" ref="B3151:B3156" si="475">CLEAN("VILLAGE OF HOWARD")</f>
        <v>VILLAGE OF HOWARD</v>
      </c>
      <c r="C3151" s="2" t="s">
        <v>2346</v>
      </c>
      <c r="D3151" s="2" t="str">
        <f>CLEAN("9269-05-00")</f>
        <v>9269-05-00</v>
      </c>
      <c r="E3151" s="3" t="str">
        <f>CLEAN("V HOWARD  MULTI-USE PED BRIDGE")</f>
        <v>V HOWARD  MULTI-USE PED BRIDGE</v>
      </c>
      <c r="F3151" s="3" t="str">
        <f>CLEAN("DUCK CREEK")</f>
        <v>DUCK CREEK</v>
      </c>
      <c r="G3151" s="3" t="str">
        <f>CLEAN("DSGN/FULL PSE/BRNEW")</f>
        <v>DSGN/FULL PSE/BRNEW</v>
      </c>
      <c r="H3151" s="2" t="str">
        <f>CLEAN("NON HWY")</f>
        <v>NON HWY</v>
      </c>
      <c r="I3151" s="2" t="str">
        <f>CLEAN("290")</f>
        <v>290</v>
      </c>
    </row>
    <row r="3152" spans="1:9" x14ac:dyDescent="0.35">
      <c r="A3152" s="2" t="str">
        <f t="shared" si="474"/>
        <v>BROWN</v>
      </c>
      <c r="B3152" s="2" t="str">
        <f t="shared" si="475"/>
        <v>VILLAGE OF HOWARD</v>
      </c>
      <c r="C3152" s="2" t="s">
        <v>643</v>
      </c>
      <c r="D3152" s="2" t="str">
        <f>CLEAN("9269-08-71")</f>
        <v>9269-08-71</v>
      </c>
      <c r="E3152" s="3" t="str">
        <f>CLEAN("V OF HOWARD  VELP AVE TRAIL")</f>
        <v>V OF HOWARD  VELP AVE TRAIL</v>
      </c>
      <c r="F3152" s="3" t="str">
        <f>CLEAN("GLENDALE AVE - MOUNTAIN BAY TRAIL")</f>
        <v>GLENDALE AVE - MOUNTAIN BAY TRAIL</v>
      </c>
      <c r="G3152" s="3" t="str">
        <f>CLEAN("CONST/MULTI-MODAL TRAIL  PHASE 1")</f>
        <v>CONST/MULTI-MODAL TRAIL  PHASE 1</v>
      </c>
      <c r="H3152" s="2" t="str">
        <f>CLEAN("CTH HS")</f>
        <v>CTH HS</v>
      </c>
      <c r="I3152" s="2" t="str">
        <f>CLEAN("290")</f>
        <v>290</v>
      </c>
    </row>
    <row r="3153" spans="1:9" x14ac:dyDescent="0.35">
      <c r="A3153" s="2" t="str">
        <f t="shared" si="474"/>
        <v>BROWN</v>
      </c>
      <c r="B3153" s="2" t="str">
        <f t="shared" si="475"/>
        <v>VILLAGE OF HOWARD</v>
      </c>
      <c r="C3153" s="2" t="s">
        <v>2438</v>
      </c>
      <c r="D3153" s="2" t="str">
        <f>CLEAN("9269-11-00")</f>
        <v>9269-11-00</v>
      </c>
      <c r="E3153" s="3" t="str">
        <f>CLEAN("V HOWARD  MULTI-USE TRAIL")</f>
        <v>V HOWARD  MULTI-USE TRAIL</v>
      </c>
      <c r="F3153" s="3" t="str">
        <f>CLEAN("MADDY COURT - MAYWOOD AVE")</f>
        <v>MADDY COURT - MAYWOOD AVE</v>
      </c>
      <c r="G3153" s="3" t="str">
        <f>CLEAN("DSGN/MISC/LLC")</f>
        <v>DSGN/MISC/LLC</v>
      </c>
      <c r="H3153" s="2" t="str">
        <f>CLEAN("NON HWY")</f>
        <v>NON HWY</v>
      </c>
      <c r="I3153" s="2" t="str">
        <f>CLEAN("206")</f>
        <v>206</v>
      </c>
    </row>
    <row r="3154" spans="1:9" x14ac:dyDescent="0.35">
      <c r="A3154" s="2" t="str">
        <f t="shared" si="474"/>
        <v>BROWN</v>
      </c>
      <c r="B3154" s="2" t="str">
        <f t="shared" si="475"/>
        <v>VILLAGE OF HOWARD</v>
      </c>
      <c r="C3154" s="2" t="s">
        <v>184</v>
      </c>
      <c r="D3154" s="2" t="str">
        <f>CLEAN("9269-11-70")</f>
        <v>9269-11-70</v>
      </c>
      <c r="E3154" s="3" t="str">
        <f>CLEAN("V HOWARD  MULTI-USE TRAIL")</f>
        <v>V HOWARD  MULTI-USE TRAIL</v>
      </c>
      <c r="F3154" s="3" t="str">
        <f>CLEAN("MADDY COURT - MAYWOOD AVE")</f>
        <v>MADDY COURT - MAYWOOD AVE</v>
      </c>
      <c r="G3154" s="3" t="str">
        <f>CLEAN("CONST OPS/MISC/LLC")</f>
        <v>CONST OPS/MISC/LLC</v>
      </c>
      <c r="H3154" s="2" t="str">
        <f>CLEAN("NON HWY")</f>
        <v>NON HWY</v>
      </c>
      <c r="I3154" s="2" t="str">
        <f>CLEAN("206")</f>
        <v>206</v>
      </c>
    </row>
    <row r="3155" spans="1:9" x14ac:dyDescent="0.35">
      <c r="A3155" s="2" t="str">
        <f t="shared" si="474"/>
        <v>BROWN</v>
      </c>
      <c r="B3155" s="2" t="str">
        <f t="shared" si="475"/>
        <v>VILLAGE OF HOWARD</v>
      </c>
      <c r="C3155" s="2" t="s">
        <v>2439</v>
      </c>
      <c r="D3155" s="2" t="str">
        <f>CLEAN("9269-12-00")</f>
        <v>9269-12-00</v>
      </c>
      <c r="E3155" s="3" t="str">
        <f>CLEAN("V HOWARD  TAYLOR STREET SIDEWALK")</f>
        <v>V HOWARD  TAYLOR STREET SIDEWALK</v>
      </c>
      <c r="F3155" s="3" t="str">
        <f>CLEAN("SHAWANO AVENUE - BOND STREET")</f>
        <v>SHAWANO AVENUE - BOND STREET</v>
      </c>
      <c r="G3155" s="3" t="str">
        <f>CLEAN("DSGN/MISC/LLC")</f>
        <v>DSGN/MISC/LLC</v>
      </c>
      <c r="H3155" s="2" t="str">
        <f>CLEAN("NON HWY")</f>
        <v>NON HWY</v>
      </c>
      <c r="I3155" s="2" t="str">
        <f>CLEAN("206")</f>
        <v>206</v>
      </c>
    </row>
    <row r="3156" spans="1:9" x14ac:dyDescent="0.35">
      <c r="A3156" s="2" t="str">
        <f t="shared" si="474"/>
        <v>BROWN</v>
      </c>
      <c r="B3156" s="2" t="str">
        <f t="shared" si="475"/>
        <v>VILLAGE OF HOWARD</v>
      </c>
      <c r="C3156" s="2" t="s">
        <v>185</v>
      </c>
      <c r="D3156" s="2" t="str">
        <f>CLEAN("9269-12-70")</f>
        <v>9269-12-70</v>
      </c>
      <c r="E3156" s="3" t="str">
        <f>CLEAN("V HOWARD  TAYLOR STREET SIDEWALK")</f>
        <v>V HOWARD  TAYLOR STREET SIDEWALK</v>
      </c>
      <c r="F3156" s="3" t="str">
        <f>CLEAN("SHAWANO AVENUE - BOND STREET")</f>
        <v>SHAWANO AVENUE - BOND STREET</v>
      </c>
      <c r="G3156" s="3" t="str">
        <f>CLEAN("CONST OPS/MISC/LLC")</f>
        <v>CONST OPS/MISC/LLC</v>
      </c>
      <c r="H3156" s="2" t="str">
        <f>CLEAN("NON HWY")</f>
        <v>NON HWY</v>
      </c>
      <c r="I3156" s="2" t="str">
        <f>CLEAN("206")</f>
        <v>206</v>
      </c>
    </row>
    <row r="3157" spans="1:9" x14ac:dyDescent="0.35">
      <c r="A3157" s="2" t="str">
        <f>CLEAN("SHEBOYGAN")</f>
        <v>SHEBOYGAN</v>
      </c>
      <c r="B3157" s="2" t="str">
        <f>CLEAN("VILLAGE OF HOWARDS GROVE")</f>
        <v>VILLAGE OF HOWARDS GROVE</v>
      </c>
      <c r="C3157" s="2" t="s">
        <v>304</v>
      </c>
      <c r="D3157" s="2" t="str">
        <f>CLEAN("4540-35-71")</f>
        <v>4540-35-71</v>
      </c>
      <c r="E3157" s="3" t="str">
        <f>CLEAN("SHEBOYGAN FALLS - HOWARDS GROVE")</f>
        <v>SHEBOYGAN FALLS - HOWARDS GROVE</v>
      </c>
      <c r="F3157" s="3" t="str">
        <f>CLEAN("STH 23 - STH 42")</f>
        <v>STH 23 - STH 42</v>
      </c>
      <c r="G3157" s="3" t="str">
        <f>CLEAN("CONST OPS/RSRF20")</f>
        <v>CONST OPS/RSRF20</v>
      </c>
      <c r="H3157" s="2" t="str">
        <f>CLEAN("STH 032")</f>
        <v>STH 032</v>
      </c>
      <c r="I3157" s="2" t="str">
        <f>CLEAN("303")</f>
        <v>303</v>
      </c>
    </row>
    <row r="3158" spans="1:9" x14ac:dyDescent="0.35">
      <c r="A3158" s="2" t="str">
        <f>CLEAN("WASHINGTON")</f>
        <v>WASHINGTON</v>
      </c>
      <c r="B3158" s="2" t="str">
        <f>CLEAN("VILLAGE OF JACKSON")</f>
        <v>VILLAGE OF JACKSON</v>
      </c>
      <c r="C3158" s="2" t="s">
        <v>1008</v>
      </c>
      <c r="D3158" s="2" t="str">
        <f>CLEAN("2310-13-71")</f>
        <v>2310-13-71</v>
      </c>
      <c r="E3158" s="3" t="str">
        <f>CLEAN("V JACKSON  EAGLE DR")</f>
        <v>V JACKSON  EAGLE DR</v>
      </c>
      <c r="F3158" s="3" t="str">
        <f>CLEAN("INTERSECTION WITH STH 60")</f>
        <v>INTERSECTION WITH STH 60</v>
      </c>
      <c r="G3158" s="3" t="str">
        <f>CLEAN("CONST/ROUNDABOUT")</f>
        <v>CONST/ROUNDABOUT</v>
      </c>
      <c r="H3158" s="2" t="str">
        <f>CLEAN("LOC STR")</f>
        <v>LOC STR</v>
      </c>
      <c r="I3158" s="2" t="str">
        <f>CLEAN("206")</f>
        <v>206</v>
      </c>
    </row>
    <row r="3159" spans="1:9" x14ac:dyDescent="0.35">
      <c r="A3159" s="2" t="str">
        <f>CLEAN("MONROE")</f>
        <v>MONROE</v>
      </c>
      <c r="B3159" s="2" t="str">
        <f>CLEAN("VILLAGE OF KENDALL")</f>
        <v>VILLAGE OF KENDALL</v>
      </c>
      <c r="C3159" s="2" t="s">
        <v>3133</v>
      </c>
      <c r="D3159" s="2" t="str">
        <f>CLEAN("5545-00-22")</f>
        <v>5545-00-22</v>
      </c>
      <c r="E3159" s="3" t="str">
        <f>CLEAN("WILTON - ELROY")</f>
        <v>WILTON - ELROY</v>
      </c>
      <c r="F3159" s="3" t="str">
        <f>CLEAN("GLEN STREET TO PARK ROAD")</f>
        <v>GLEN STREET TO PARK ROAD</v>
      </c>
      <c r="G3159" s="3" t="str">
        <f>CLEAN("RE OPS/ 5545-00-72 / RSRF")</f>
        <v>RE OPS/ 5545-00-72 / RSRF</v>
      </c>
      <c r="H3159" s="2" t="str">
        <f>CLEAN("STH 071")</f>
        <v>STH 071</v>
      </c>
      <c r="I3159" s="2" t="str">
        <f>CLEAN("303")</f>
        <v>303</v>
      </c>
    </row>
    <row r="3160" spans="1:9" x14ac:dyDescent="0.35">
      <c r="A3160" s="2" t="str">
        <f t="shared" ref="A3160:A3165" si="476">CLEAN("WASHINGTON")</f>
        <v>WASHINGTON</v>
      </c>
      <c r="B3160" s="2" t="str">
        <f t="shared" ref="B3160:B3165" si="477">CLEAN("VILLAGE OF KEWASKUM")</f>
        <v>VILLAGE OF KEWASKUM</v>
      </c>
      <c r="C3160" s="2" t="s">
        <v>1028</v>
      </c>
      <c r="D3160" s="2" t="str">
        <f>CLEAN("4060-05-71")</f>
        <v>4060-05-71</v>
      </c>
      <c r="E3160" s="3" t="str">
        <f>CLEAN("MAIN STREET  VILLAGE OF KEWASKUM")</f>
        <v>MAIN STREET  VILLAGE OF KEWASKUM</v>
      </c>
      <c r="F3160" s="3" t="str">
        <f>CLEAN("USH 45 TO STH 144")</f>
        <v>USH 45 TO STH 144</v>
      </c>
      <c r="G3160" s="3" t="str">
        <f>CLEAN("CONST/SANITARY SEWER &amp; WATER MAIN")</f>
        <v>CONST/SANITARY SEWER &amp; WATER MAIN</v>
      </c>
      <c r="H3160" s="2" t="str">
        <f>CLEAN("STH 028")</f>
        <v>STH 028</v>
      </c>
      <c r="I3160" s="2" t="str">
        <f>CLEAN("303")</f>
        <v>303</v>
      </c>
    </row>
    <row r="3161" spans="1:9" x14ac:dyDescent="0.35">
      <c r="A3161" s="2" t="str">
        <f t="shared" si="476"/>
        <v>WASHINGTON</v>
      </c>
      <c r="B3161" s="2" t="str">
        <f t="shared" si="477"/>
        <v>VILLAGE OF KEWASKUM</v>
      </c>
      <c r="C3161" s="2" t="s">
        <v>46</v>
      </c>
      <c r="D3161" s="2" t="str">
        <f>CLEAN("4070-00-70")</f>
        <v>4070-00-70</v>
      </c>
      <c r="E3161" s="3" t="str">
        <f>CLEAN("FOND DU LAC AVENUE")</f>
        <v>FOND DU LAC AVENUE</v>
      </c>
      <c r="F3161" s="3" t="str">
        <f>CLEAN("WB CTH H TO WB STH 28")</f>
        <v>WB CTH H TO WB STH 28</v>
      </c>
      <c r="G3161" s="3" t="str">
        <f>CLEAN("CONST / RESURFACING")</f>
        <v>CONST / RESURFACING</v>
      </c>
      <c r="H3161" s="2" t="str">
        <f>CLEAN("USH 045")</f>
        <v>USH 045</v>
      </c>
      <c r="I3161" s="2" t="str">
        <f>CLEAN("303")</f>
        <v>303</v>
      </c>
    </row>
    <row r="3162" spans="1:9" x14ac:dyDescent="0.35">
      <c r="A3162" s="2" t="str">
        <f t="shared" si="476"/>
        <v>WASHINGTON</v>
      </c>
      <c r="B3162" s="2" t="str">
        <f t="shared" si="477"/>
        <v>VILLAGE OF KEWASKUM</v>
      </c>
      <c r="C3162" s="2" t="s">
        <v>2755</v>
      </c>
      <c r="D3162" s="2" t="str">
        <f>CLEAN("4824-05-00")</f>
        <v>4824-05-00</v>
      </c>
      <c r="E3162" s="3" t="str">
        <f>CLEAN("V KEWASKUM  WILDLIFE DR")</f>
        <v>V KEWASKUM  WILDLIFE DR</v>
      </c>
      <c r="F3162" s="3" t="str">
        <f>CLEAN("OLD FOND DU LAC RD TO REIGLE DR")</f>
        <v>OLD FOND DU LAC RD TO REIGLE DR</v>
      </c>
      <c r="G3162" s="3" t="str">
        <f>CLEAN("PE/FULL PS&amp;E/PVRPLA")</f>
        <v>PE/FULL PS&amp;E/PVRPLA</v>
      </c>
      <c r="H3162" s="2" t="str">
        <f>CLEAN("LOC STR")</f>
        <v>LOC STR</v>
      </c>
      <c r="I3162" s="2" t="str">
        <f>CLEAN("206")</f>
        <v>206</v>
      </c>
    </row>
    <row r="3163" spans="1:9" x14ac:dyDescent="0.35">
      <c r="A3163" s="2" t="str">
        <f t="shared" si="476"/>
        <v>WASHINGTON</v>
      </c>
      <c r="B3163" s="2" t="str">
        <f t="shared" si="477"/>
        <v>VILLAGE OF KEWASKUM</v>
      </c>
      <c r="C3163" s="2" t="s">
        <v>1015</v>
      </c>
      <c r="D3163" s="2" t="str">
        <f>CLEAN("4824-05-70")</f>
        <v>4824-05-70</v>
      </c>
      <c r="E3163" s="3" t="str">
        <f>CLEAN("V KEWASKUM  WILDLIFE DR")</f>
        <v>V KEWASKUM  WILDLIFE DR</v>
      </c>
      <c r="F3163" s="3" t="str">
        <f>CLEAN("OLD FOND DU LAC RD TO REIGLE DR")</f>
        <v>OLD FOND DU LAC RD TO REIGLE DR</v>
      </c>
      <c r="G3163" s="3" t="str">
        <f>CLEAN("CONST/RSRF15")</f>
        <v>CONST/RSRF15</v>
      </c>
      <c r="H3163" s="2" t="str">
        <f>CLEAN("LOC STR")</f>
        <v>LOC STR</v>
      </c>
      <c r="I3163" s="2" t="str">
        <f>CLEAN("206")</f>
        <v>206</v>
      </c>
    </row>
    <row r="3164" spans="1:9" x14ac:dyDescent="0.35">
      <c r="A3164" s="2" t="str">
        <f t="shared" si="476"/>
        <v>WASHINGTON</v>
      </c>
      <c r="B3164" s="2" t="str">
        <f t="shared" si="477"/>
        <v>VILLAGE OF KEWASKUM</v>
      </c>
      <c r="C3164" s="2" t="s">
        <v>2762</v>
      </c>
      <c r="D3164" s="2" t="str">
        <f>CLEAN("4824-06-00")</f>
        <v>4824-06-00</v>
      </c>
      <c r="E3164" s="3" t="str">
        <f>CLEAN("V KEWASKUM  REIGLE DR")</f>
        <v>V KEWASKUM  REIGLE DR</v>
      </c>
      <c r="F3164" s="3" t="str">
        <f>CLEAN("WILDLIFE DR TO THIRD ST")</f>
        <v>WILDLIFE DR TO THIRD ST</v>
      </c>
      <c r="G3164" s="3" t="str">
        <f>CLEAN("PE/FULL PS&amp;E/PVRPLA")</f>
        <v>PE/FULL PS&amp;E/PVRPLA</v>
      </c>
      <c r="H3164" s="2" t="str">
        <f>CLEAN("LOC STR")</f>
        <v>LOC STR</v>
      </c>
      <c r="I3164" s="2" t="str">
        <f>CLEAN("206")</f>
        <v>206</v>
      </c>
    </row>
    <row r="3165" spans="1:9" x14ac:dyDescent="0.35">
      <c r="A3165" s="2" t="str">
        <f t="shared" si="476"/>
        <v>WASHINGTON</v>
      </c>
      <c r="B3165" s="2" t="str">
        <f t="shared" si="477"/>
        <v>VILLAGE OF KEWASKUM</v>
      </c>
      <c r="C3165" s="2" t="s">
        <v>1016</v>
      </c>
      <c r="D3165" s="2" t="str">
        <f>CLEAN("4824-06-70")</f>
        <v>4824-06-70</v>
      </c>
      <c r="E3165" s="3" t="str">
        <f>CLEAN("V KEWASKUM  REIGLE DR")</f>
        <v>V KEWASKUM  REIGLE DR</v>
      </c>
      <c r="F3165" s="3" t="str">
        <f>CLEAN("WILDLIFE DR TO THIRD ST")</f>
        <v>WILDLIFE DR TO THIRD ST</v>
      </c>
      <c r="G3165" s="3" t="str">
        <f>CLEAN("CONST/RSRF15")</f>
        <v>CONST/RSRF15</v>
      </c>
      <c r="H3165" s="2" t="str">
        <f>CLEAN("LOC STR")</f>
        <v>LOC STR</v>
      </c>
      <c r="I3165" s="2" t="str">
        <f>CLEAN("206")</f>
        <v>206</v>
      </c>
    </row>
    <row r="3166" spans="1:9" x14ac:dyDescent="0.35">
      <c r="A3166" s="2" t="str">
        <f>CLEAN("OUTAGAMIE")</f>
        <v>OUTAGAMIE</v>
      </c>
      <c r="B3166" s="2" t="str">
        <f>CLEAN("VILLAGE OF KIMBERLY")</f>
        <v>VILLAGE OF KIMBERLY</v>
      </c>
      <c r="C3166" s="2" t="s">
        <v>181</v>
      </c>
      <c r="D3166" s="2" t="str">
        <f>CLEAN("4989-02-50")</f>
        <v>4989-02-50</v>
      </c>
      <c r="E3166" s="3" t="str">
        <f>CLEAN("V KIMBERLY  MARCELLA ST TRAIL")</f>
        <v>V KIMBERLY  MARCELLA ST TRAIL</v>
      </c>
      <c r="F3166" s="3" t="str">
        <f>CLEAN("FOXY RR XING 179987G SURFACE")</f>
        <v>FOXY RR XING 179987G SURFACE</v>
      </c>
      <c r="G3166" s="3" t="str">
        <f>CLEAN("CONST OPS/MISC RR SURFACE")</f>
        <v>CONST OPS/MISC RR SURFACE</v>
      </c>
      <c r="H3166" s="2" t="str">
        <f>CLEAN("LOC STR")</f>
        <v>LOC STR</v>
      </c>
      <c r="I3166" s="2" t="str">
        <f>CLEAN("290")</f>
        <v>290</v>
      </c>
    </row>
    <row r="3167" spans="1:9" x14ac:dyDescent="0.35">
      <c r="A3167" s="2" t="str">
        <f>CLEAN("OUTAGAMIE")</f>
        <v>OUTAGAMIE</v>
      </c>
      <c r="B3167" s="2" t="str">
        <f>CLEAN("VILLAGE OF KIMBERLY")</f>
        <v>VILLAGE OF KIMBERLY</v>
      </c>
      <c r="C3167" s="2" t="s">
        <v>635</v>
      </c>
      <c r="D3167" s="2" t="str">
        <f>CLEAN("4989-02-71")</f>
        <v>4989-02-71</v>
      </c>
      <c r="E3167" s="3" t="str">
        <f>CLEAN("V KIMBERLY  MARCELLA ST TRAIL")</f>
        <v>V KIMBERLY  MARCELLA ST TRAIL</v>
      </c>
      <c r="F3167" s="3" t="str">
        <f>CLEAN("COBBLESTONE LN - W KIMBERLY AVE")</f>
        <v>COBBLESTONE LN - W KIMBERLY AVE</v>
      </c>
      <c r="G3167" s="3" t="str">
        <f>CLEAN("CONST/MISC BIKE/PED TRAIL")</f>
        <v>CONST/MISC BIKE/PED TRAIL</v>
      </c>
      <c r="H3167" s="2" t="str">
        <f>CLEAN("NON HWY")</f>
        <v>NON HWY</v>
      </c>
      <c r="I3167" s="2" t="str">
        <f>CLEAN("290")</f>
        <v>290</v>
      </c>
    </row>
    <row r="3168" spans="1:9" x14ac:dyDescent="0.35">
      <c r="A3168" s="2" t="str">
        <f>CLEAN("GREEN LAKE")</f>
        <v>GREEN LAKE</v>
      </c>
      <c r="B3168" s="2" t="str">
        <f>CLEAN("VILLAGE OF KINGSTON")</f>
        <v>VILLAGE OF KINGSTON</v>
      </c>
      <c r="C3168" s="2" t="s">
        <v>997</v>
      </c>
      <c r="D3168" s="2" t="str">
        <f>CLEAN("6630-01-74")</f>
        <v>6630-01-74</v>
      </c>
      <c r="E3168" s="3" t="str">
        <f>CLEAN("PARDEEVILLE - MANCHESTER")</f>
        <v>PARDEEVILLE - MANCHESTER</v>
      </c>
      <c r="F3168" s="3" t="str">
        <f>CLEAN("VINE STREET TO STH 73")</f>
        <v>VINE STREET TO STH 73</v>
      </c>
      <c r="G3168" s="3" t="str">
        <f>CLEAN("CONST/RESURFACE")</f>
        <v>CONST/RESURFACE</v>
      </c>
      <c r="H3168" s="2" t="str">
        <f>CLEAN("STH 044")</f>
        <v>STH 044</v>
      </c>
      <c r="I3168" s="2" t="str">
        <f t="shared" ref="I3168:I3179" si="478">CLEAN("303")</f>
        <v>303</v>
      </c>
    </row>
    <row r="3169" spans="1:9" x14ac:dyDescent="0.35">
      <c r="A3169" s="2" t="str">
        <f>CLEAN("VERNON")</f>
        <v>VERNON</v>
      </c>
      <c r="B3169" s="2" t="str">
        <f>CLEAN("VILLAGE OF LA FARGE")</f>
        <v>VILLAGE OF LA FARGE</v>
      </c>
      <c r="C3169" s="2" t="s">
        <v>354</v>
      </c>
      <c r="D3169" s="2" t="str">
        <f>CLEAN("5110-06-70")</f>
        <v>5110-06-70</v>
      </c>
      <c r="E3169" s="3" t="str">
        <f>CLEAN("READSTOWN - ONTARIO")</f>
        <v>READSTOWN - ONTARIO</v>
      </c>
      <c r="F3169" s="3" t="str">
        <f>CLEAN("STH 82 TO STH 33/ B-62-47 -187")</f>
        <v>STH 82 TO STH 33/ B-62-47 -187</v>
      </c>
      <c r="G3169" s="3" t="str">
        <f>CLEAN("CONST/ PVRPLA")</f>
        <v>CONST/ PVRPLA</v>
      </c>
      <c r="H3169" s="2" t="str">
        <f>CLEAN("STH 131")</f>
        <v>STH 131</v>
      </c>
      <c r="I3169" s="2" t="str">
        <f t="shared" si="478"/>
        <v>303</v>
      </c>
    </row>
    <row r="3170" spans="1:9" x14ac:dyDescent="0.35">
      <c r="A3170" s="2" t="str">
        <f>CLEAN("VERNON")</f>
        <v>VERNON</v>
      </c>
      <c r="B3170" s="2" t="str">
        <f>CLEAN("VILLAGE OF LA FARGE")</f>
        <v>VILLAGE OF LA FARGE</v>
      </c>
      <c r="C3170" s="2" t="s">
        <v>26</v>
      </c>
      <c r="D3170" s="2" t="str">
        <f>CLEAN("5710-00-72")</f>
        <v>5710-00-72</v>
      </c>
      <c r="E3170" s="3" t="str">
        <f>CLEAN("LAFARGE - HILLSBORO")</f>
        <v>LAFARGE - HILLSBORO</v>
      </c>
      <c r="F3170" s="3" t="str">
        <f>CLEAN("KICKAPOO RIVER TO STH 33")</f>
        <v>KICKAPOO RIVER TO STH 33</v>
      </c>
      <c r="G3170" s="3" t="str">
        <f>CLEAN("CON/MILL &amp; O'LAY B62-51 -238/PVRPLA")</f>
        <v>CON/MILL &amp; O'LAY B62-51 -238/PVRPLA</v>
      </c>
      <c r="H3170" s="2" t="str">
        <f>CLEAN("STH 082")</f>
        <v>STH 082</v>
      </c>
      <c r="I3170" s="2" t="str">
        <f t="shared" si="478"/>
        <v>303</v>
      </c>
    </row>
    <row r="3171" spans="1:9" x14ac:dyDescent="0.35">
      <c r="A3171" s="2" t="str">
        <f>CLEAN("VERNON")</f>
        <v>VERNON</v>
      </c>
      <c r="B3171" s="2" t="str">
        <f>CLEAN("VILLAGE OF LA FARGE")</f>
        <v>VILLAGE OF LA FARGE</v>
      </c>
      <c r="C3171" s="2" t="s">
        <v>327</v>
      </c>
      <c r="D3171" s="2" t="str">
        <f>CLEAN("5710-00-73")</f>
        <v>5710-00-73</v>
      </c>
      <c r="E3171" s="3" t="str">
        <f>CLEAN("LAFARGE - HILLSBORO")</f>
        <v>LAFARGE - HILLSBORO</v>
      </c>
      <c r="F3171" s="3" t="str">
        <f>CLEAN("KICKAPOO RIVER TO MAPLE ST")</f>
        <v>KICKAPOO RIVER TO MAPLE ST</v>
      </c>
      <c r="G3171" s="3" t="str">
        <f>CLEAN("CONST/ CURB &amp; GUTTER/ PVRPL")</f>
        <v>CONST/ CURB &amp; GUTTER/ PVRPL</v>
      </c>
      <c r="H3171" s="2" t="str">
        <f>CLEAN("STH 082")</f>
        <v>STH 082</v>
      </c>
      <c r="I3171" s="2" t="str">
        <f t="shared" si="478"/>
        <v>303</v>
      </c>
    </row>
    <row r="3172" spans="1:9" x14ac:dyDescent="0.35">
      <c r="A3172" s="2" t="str">
        <f t="shared" ref="A3172:A3179" si="479">CLEAN("SAUK")</f>
        <v>SAUK</v>
      </c>
      <c r="B3172" s="2" t="str">
        <f>CLEAN("VILLAGE OF LA VALLE")</f>
        <v>VILLAGE OF LA VALLE</v>
      </c>
      <c r="C3172" s="2" t="s">
        <v>343</v>
      </c>
      <c r="D3172" s="2" t="str">
        <f>CLEAN("5030-01-72")</f>
        <v>5030-01-72</v>
      </c>
      <c r="E3172" s="3" t="str">
        <f>CLEAN("HILLSBORO - REEDSBURG")</f>
        <v>HILLSBORO - REEDSBURG</v>
      </c>
      <c r="F3172" s="3" t="str">
        <f>CLEAN("V WONEWOC S LIMITS TO MAIN STREET")</f>
        <v>V WONEWOC S LIMITS TO MAIN STREET</v>
      </c>
      <c r="G3172" s="3" t="str">
        <f>CLEAN("CONST/ MILL AND OVERLAY")</f>
        <v>CONST/ MILL AND OVERLAY</v>
      </c>
      <c r="H3172" s="2" t="str">
        <f>CLEAN("STH 033")</f>
        <v>STH 033</v>
      </c>
      <c r="I3172" s="2" t="str">
        <f t="shared" si="478"/>
        <v>303</v>
      </c>
    </row>
    <row r="3173" spans="1:9" x14ac:dyDescent="0.35">
      <c r="A3173" s="2" t="str">
        <f t="shared" si="479"/>
        <v>SAUK</v>
      </c>
      <c r="B3173" s="2" t="str">
        <f>CLEAN("VILLAGE OF LA VALLE")</f>
        <v>VILLAGE OF LA VALLE</v>
      </c>
      <c r="C3173" s="2" t="s">
        <v>336</v>
      </c>
      <c r="D3173" s="2" t="str">
        <f>CLEAN("5752-00-72")</f>
        <v>5752-00-72</v>
      </c>
      <c r="E3173" s="3" t="str">
        <f>CLEAN("USH 14 - LAVALLE")</f>
        <v>USH 14 - LAVALLE</v>
      </c>
      <c r="F3173" s="3" t="str">
        <f>CLEAN("LEE LAKE BRIDGE TO STH 33")</f>
        <v>LEE LAKE BRIDGE TO STH 33</v>
      </c>
      <c r="G3173" s="3" t="str">
        <f>CLEAN("CONST/ MILL AND OVERLAY")</f>
        <v>CONST/ MILL AND OVERLAY</v>
      </c>
      <c r="H3173" s="2" t="str">
        <f>CLEAN("STH 058")</f>
        <v>STH 058</v>
      </c>
      <c r="I3173" s="2" t="str">
        <f t="shared" si="478"/>
        <v>303</v>
      </c>
    </row>
    <row r="3174" spans="1:9" x14ac:dyDescent="0.35">
      <c r="A3174" s="2" t="str">
        <f t="shared" si="479"/>
        <v>SAUK</v>
      </c>
      <c r="B3174" s="2" t="str">
        <f t="shared" ref="B3174:B3179" si="480">CLEAN("VILLAGE OF LAKE DELTON")</f>
        <v>VILLAGE OF LAKE DELTON</v>
      </c>
      <c r="C3174" s="2" t="s">
        <v>3129</v>
      </c>
      <c r="D3174" s="2" t="str">
        <f>CLEAN("6145-01-22")</f>
        <v>6145-01-22</v>
      </c>
      <c r="E3174" s="3" t="str">
        <f t="shared" ref="E3174:E3179" si="481">CLEAN("WISCONSIN DELLS - BARABOO")</f>
        <v>WISCONSIN DELLS - BARABOO</v>
      </c>
      <c r="F3174" s="3" t="str">
        <f>CLEAN("CTH A TO PILGRIM DRIVE")</f>
        <v>CTH A TO PILGRIM DRIVE</v>
      </c>
      <c r="G3174" s="3" t="str">
        <f>CLEAN("RE - OPS FOR 6145-01-72")</f>
        <v>RE - OPS FOR 6145-01-72</v>
      </c>
      <c r="H3174" s="2" t="str">
        <f t="shared" ref="H3174:H3179" si="482">CLEAN("USH 012")</f>
        <v>USH 012</v>
      </c>
      <c r="I3174" s="2" t="str">
        <f t="shared" si="478"/>
        <v>303</v>
      </c>
    </row>
    <row r="3175" spans="1:9" x14ac:dyDescent="0.35">
      <c r="A3175" s="2" t="str">
        <f t="shared" si="479"/>
        <v>SAUK</v>
      </c>
      <c r="B3175" s="2" t="str">
        <f t="shared" si="480"/>
        <v>VILLAGE OF LAKE DELTON</v>
      </c>
      <c r="C3175" s="2" t="s">
        <v>3130</v>
      </c>
      <c r="D3175" s="2" t="str">
        <f>CLEAN("6145-01-23")</f>
        <v>6145-01-23</v>
      </c>
      <c r="E3175" s="3" t="str">
        <f t="shared" si="481"/>
        <v>WISCONSIN DELLS - BARABOO</v>
      </c>
      <c r="F3175" s="3" t="str">
        <f>CLEAN("PILGRIM DRIVE TO E ADAMS ST")</f>
        <v>PILGRIM DRIVE TO E ADAMS ST</v>
      </c>
      <c r="G3175" s="3" t="str">
        <f>CLEAN("RE - OPS FOR 6145-01-73")</f>
        <v>RE - OPS FOR 6145-01-73</v>
      </c>
      <c r="H3175" s="2" t="str">
        <f t="shared" si="482"/>
        <v>USH 012</v>
      </c>
      <c r="I3175" s="2" t="str">
        <f t="shared" si="478"/>
        <v>303</v>
      </c>
    </row>
    <row r="3176" spans="1:9" x14ac:dyDescent="0.35">
      <c r="A3176" s="2" t="str">
        <f t="shared" si="479"/>
        <v>SAUK</v>
      </c>
      <c r="B3176" s="2" t="str">
        <f t="shared" si="480"/>
        <v>VILLAGE OF LAKE DELTON</v>
      </c>
      <c r="C3176" s="2" t="s">
        <v>1301</v>
      </c>
      <c r="D3176" s="2" t="str">
        <f>CLEAN("6145-01-72")</f>
        <v>6145-01-72</v>
      </c>
      <c r="E3176" s="3" t="str">
        <f t="shared" si="481"/>
        <v>WISCONSIN DELLS - BARABOO</v>
      </c>
      <c r="F3176" s="3" t="str">
        <f>CLEAN("CTH A TO PILGRIM DRIVE")</f>
        <v>CTH A TO PILGRIM DRIVE</v>
      </c>
      <c r="G3176" s="3" t="str">
        <f>CLEAN("CONSTRUCTION/PVRPLA")</f>
        <v>CONSTRUCTION/PVRPLA</v>
      </c>
      <c r="H3176" s="2" t="str">
        <f t="shared" si="482"/>
        <v>USH 012</v>
      </c>
      <c r="I3176" s="2" t="str">
        <f t="shared" si="478"/>
        <v>303</v>
      </c>
    </row>
    <row r="3177" spans="1:9" x14ac:dyDescent="0.35">
      <c r="A3177" s="2" t="str">
        <f t="shared" si="479"/>
        <v>SAUK</v>
      </c>
      <c r="B3177" s="2" t="str">
        <f t="shared" si="480"/>
        <v>VILLAGE OF LAKE DELTON</v>
      </c>
      <c r="C3177" s="2" t="s">
        <v>549</v>
      </c>
      <c r="D3177" s="2" t="str">
        <f>CLEAN("6145-01-73")</f>
        <v>6145-01-73</v>
      </c>
      <c r="E3177" s="3" t="str">
        <f t="shared" si="481"/>
        <v>WISCONSIN DELLS - BARABOO</v>
      </c>
      <c r="F3177" s="3" t="str">
        <f>CLEAN("PILGRIM DRIVE TO E ADAMS ST")</f>
        <v>PILGRIM DRIVE TO E ADAMS ST</v>
      </c>
      <c r="G3177" s="3" t="str">
        <f>CLEAN("CONST/FIVE LANE TWLTL")</f>
        <v>CONST/FIVE LANE TWLTL</v>
      </c>
      <c r="H3177" s="2" t="str">
        <f t="shared" si="482"/>
        <v>USH 012</v>
      </c>
      <c r="I3177" s="2" t="str">
        <f t="shared" si="478"/>
        <v>303</v>
      </c>
    </row>
    <row r="3178" spans="1:9" x14ac:dyDescent="0.35">
      <c r="A3178" s="2" t="str">
        <f t="shared" si="479"/>
        <v>SAUK</v>
      </c>
      <c r="B3178" s="2" t="str">
        <f t="shared" si="480"/>
        <v>VILLAGE OF LAKE DELTON</v>
      </c>
      <c r="C3178" s="2" t="s">
        <v>28</v>
      </c>
      <c r="D3178" s="2" t="str">
        <f>CLEAN("6145-01-82")</f>
        <v>6145-01-82</v>
      </c>
      <c r="E3178" s="3" t="str">
        <f t="shared" si="481"/>
        <v>WISCONSIN DELLS - BARABOO</v>
      </c>
      <c r="F3178" s="3" t="str">
        <f>CLEAN("CTH A TO PILGRIM DRIVE")</f>
        <v>CTH A TO PILGRIM DRIVE</v>
      </c>
      <c r="G3178" s="3" t="str">
        <f>CLEAN("CONAT/SEWER &amp; WATER/PVRPLA")</f>
        <v>CONAT/SEWER &amp; WATER/PVRPLA</v>
      </c>
      <c r="H3178" s="2" t="str">
        <f t="shared" si="482"/>
        <v>USH 012</v>
      </c>
      <c r="I3178" s="2" t="str">
        <f t="shared" si="478"/>
        <v>303</v>
      </c>
    </row>
    <row r="3179" spans="1:9" x14ac:dyDescent="0.35">
      <c r="A3179" s="2" t="str">
        <f t="shared" si="479"/>
        <v>SAUK</v>
      </c>
      <c r="B3179" s="2" t="str">
        <f t="shared" si="480"/>
        <v>VILLAGE OF LAKE DELTON</v>
      </c>
      <c r="C3179" s="2" t="s">
        <v>1035</v>
      </c>
      <c r="D3179" s="2" t="str">
        <f>CLEAN("6145-01-83")</f>
        <v>6145-01-83</v>
      </c>
      <c r="E3179" s="3" t="str">
        <f t="shared" si="481"/>
        <v>WISCONSIN DELLS - BARABOO</v>
      </c>
      <c r="F3179" s="3" t="str">
        <f>CLEAN("PILGRIM DRIVE TO E ADAMS ST")</f>
        <v>PILGRIM DRIVE TO E ADAMS ST</v>
      </c>
      <c r="G3179" s="3" t="str">
        <f>CLEAN("CONST/SEWER &amp; WATER/PVRPLA")</f>
        <v>CONST/SEWER &amp; WATER/PVRPLA</v>
      </c>
      <c r="H3179" s="2" t="str">
        <f t="shared" si="482"/>
        <v>USH 012</v>
      </c>
      <c r="I3179" s="2" t="str">
        <f t="shared" si="478"/>
        <v>303</v>
      </c>
    </row>
    <row r="3180" spans="1:9" x14ac:dyDescent="0.35">
      <c r="A3180" s="2" t="str">
        <f>CLEAN("CHIPPEWA")</f>
        <v>CHIPPEWA</v>
      </c>
      <c r="B3180" s="2" t="str">
        <f>CLEAN("VILLAGE OF LAKE HALLIE")</f>
        <v>VILLAGE OF LAKE HALLIE</v>
      </c>
      <c r="C3180" s="2" t="s">
        <v>2298</v>
      </c>
      <c r="D3180" s="2" t="str">
        <f>CLEAN("8996-01-12")</f>
        <v>8996-01-12</v>
      </c>
      <c r="E3180" s="3" t="str">
        <f>CLEAN("V LAKE HALLIE  120TH STREET")</f>
        <v>V LAKE HALLIE  120TH STREET</v>
      </c>
      <c r="F3180" s="3" t="str">
        <f>CLEAN("30TH AVE/119TH ST TO 35TH AVE")</f>
        <v>30TH AVE/119TH ST TO 35TH AVE</v>
      </c>
      <c r="G3180" s="3" t="str">
        <f>CLEAN("DESIGN-FULL PS&amp;E PVRPLA")</f>
        <v>DESIGN-FULL PS&amp;E PVRPLA</v>
      </c>
      <c r="H3180" s="2" t="str">
        <f>CLEAN("LOC STR")</f>
        <v>LOC STR</v>
      </c>
      <c r="I3180" s="2" t="str">
        <f>CLEAN("206")</f>
        <v>206</v>
      </c>
    </row>
    <row r="3181" spans="1:9" x14ac:dyDescent="0.35">
      <c r="A3181" s="2" t="str">
        <f>CLEAN("CHIPPEWA")</f>
        <v>CHIPPEWA</v>
      </c>
      <c r="B3181" s="2" t="str">
        <f>CLEAN("VILLAGE OF LAKE HALLIE")</f>
        <v>VILLAGE OF LAKE HALLIE</v>
      </c>
      <c r="C3181" s="2" t="s">
        <v>1293</v>
      </c>
      <c r="D3181" s="2" t="str">
        <f>CLEAN("8996-01-13")</f>
        <v>8996-01-13</v>
      </c>
      <c r="E3181" s="3" t="str">
        <f>CLEAN("V LAKE HALLIE  120TH STREET")</f>
        <v>V LAKE HALLIE  120TH STREET</v>
      </c>
      <c r="F3181" s="3" t="str">
        <f>CLEAN("30TH AVE/119TH ST TO 35TH AVE")</f>
        <v>30TH AVE/119TH ST TO 35TH AVE</v>
      </c>
      <c r="G3181" s="3" t="str">
        <f>CLEAN("CONSTRUCTION/PAVEMENT REPLACEMENT")</f>
        <v>CONSTRUCTION/PAVEMENT REPLACEMENT</v>
      </c>
      <c r="H3181" s="2" t="str">
        <f>CLEAN("LOC STR")</f>
        <v>LOC STR</v>
      </c>
      <c r="I3181" s="2" t="str">
        <f>CLEAN("206")</f>
        <v>206</v>
      </c>
    </row>
    <row r="3182" spans="1:9" x14ac:dyDescent="0.35">
      <c r="A3182" s="2" t="str">
        <f>CLEAN("CHIPPEWA")</f>
        <v>CHIPPEWA</v>
      </c>
      <c r="B3182" s="2" t="str">
        <f>CLEAN("VILLAGE OF LAKE HALLIE")</f>
        <v>VILLAGE OF LAKE HALLIE</v>
      </c>
      <c r="C3182" s="2" t="s">
        <v>2297</v>
      </c>
      <c r="D3182" s="2" t="str">
        <f>CLEAN("8996-01-14")</f>
        <v>8996-01-14</v>
      </c>
      <c r="E3182" s="3" t="str">
        <f>CLEAN("V LAKE HALLIE  24TH AVENUE")</f>
        <v>V LAKE HALLIE  24TH AVENUE</v>
      </c>
      <c r="F3182" s="3" t="str">
        <f>CLEAN("130TH STREET TO 125TH STREET")</f>
        <v>130TH STREET TO 125TH STREET</v>
      </c>
      <c r="G3182" s="3" t="str">
        <f>CLEAN("DESIGN-FULL PS&amp;E PVRPLA")</f>
        <v>DESIGN-FULL PS&amp;E PVRPLA</v>
      </c>
      <c r="H3182" s="2" t="str">
        <f>CLEAN("LOC STR")</f>
        <v>LOC STR</v>
      </c>
      <c r="I3182" s="2" t="str">
        <f>CLEAN("206")</f>
        <v>206</v>
      </c>
    </row>
    <row r="3183" spans="1:9" x14ac:dyDescent="0.35">
      <c r="A3183" s="2" t="str">
        <f>CLEAN("CHIPPEWA")</f>
        <v>CHIPPEWA</v>
      </c>
      <c r="B3183" s="2" t="str">
        <f>CLEAN("VILLAGE OF LAKE HALLIE")</f>
        <v>VILLAGE OF LAKE HALLIE</v>
      </c>
      <c r="C3183" s="2" t="s">
        <v>1292</v>
      </c>
      <c r="D3183" s="2" t="str">
        <f>CLEAN("8996-01-15")</f>
        <v>8996-01-15</v>
      </c>
      <c r="E3183" s="3" t="str">
        <f>CLEAN("V LAKE HALLIE  24TH AVENUE")</f>
        <v>V LAKE HALLIE  24TH AVENUE</v>
      </c>
      <c r="F3183" s="3" t="str">
        <f>CLEAN("130TH STREET TO 125TH STREET")</f>
        <v>130TH STREET TO 125TH STREET</v>
      </c>
      <c r="G3183" s="3" t="str">
        <f>CLEAN("CONSTRUCTION/PAVEMENT REPLACEMENT")</f>
        <v>CONSTRUCTION/PAVEMENT REPLACEMENT</v>
      </c>
      <c r="H3183" s="2" t="str">
        <f>CLEAN("LOC STR")</f>
        <v>LOC STR</v>
      </c>
      <c r="I3183" s="2" t="str">
        <f>CLEAN("206")</f>
        <v>206</v>
      </c>
    </row>
    <row r="3184" spans="1:9" x14ac:dyDescent="0.35">
      <c r="A3184" s="2" t="str">
        <f>CLEAN("WAUKESHA")</f>
        <v>WAUKESHA</v>
      </c>
      <c r="B3184" s="2" t="str">
        <f>CLEAN("VILLAGE OF LANNON")</f>
        <v>VILLAGE OF LANNON</v>
      </c>
      <c r="C3184" s="2" t="s">
        <v>2628</v>
      </c>
      <c r="D3184" s="2" t="str">
        <f>CLEAN("2720-04-01")</f>
        <v>2720-04-01</v>
      </c>
      <c r="E3184" s="3" t="str">
        <f>CLEAN("V LANNON BIKE PED STUDY")</f>
        <v>V LANNON BIKE PED STUDY</v>
      </c>
      <c r="F3184" s="3" t="str">
        <f>CLEAN("VILLAGE WIDE")</f>
        <v>VILLAGE WIDE</v>
      </c>
      <c r="G3184" s="3" t="str">
        <f>CLEAN("PE/BIKE PED TRANSP STUDY")</f>
        <v>PE/BIKE PED TRANSP STUDY</v>
      </c>
      <c r="H3184" s="2" t="str">
        <f>CLEAN("NON HWY")</f>
        <v>NON HWY</v>
      </c>
      <c r="I3184" s="2" t="str">
        <f>CLEAN("290")</f>
        <v>290</v>
      </c>
    </row>
    <row r="3185" spans="1:9" x14ac:dyDescent="0.35">
      <c r="A3185" s="2" t="str">
        <f>CLEAN("WAUKESHA")</f>
        <v>WAUKESHA</v>
      </c>
      <c r="B3185" s="2" t="str">
        <f>CLEAN("VILLAGE OF LANNON")</f>
        <v>VILLAGE OF LANNON</v>
      </c>
      <c r="C3185" s="2" t="s">
        <v>2823</v>
      </c>
      <c r="D3185" s="2" t="str">
        <f>CLEAN("2720-05-02")</f>
        <v>2720-05-02</v>
      </c>
      <c r="E3185" s="3" t="str">
        <f>CLEAN("V LANNON  JOECK'S PATH IMPROVEMENTS")</f>
        <v>V LANNON  JOECK'S PATH IMPROVEMENTS</v>
      </c>
      <c r="F3185" s="3" t="str">
        <f>CLEAN("JOECK'S PARK TO BUGLINE TRAIL")</f>
        <v>JOECK'S PARK TO BUGLINE TRAIL</v>
      </c>
      <c r="G3185" s="3" t="str">
        <f>CLEAN("PE/FULL PSE/BIKE PED PATH")</f>
        <v>PE/FULL PSE/BIKE PED PATH</v>
      </c>
      <c r="H3185" s="2" t="str">
        <f>CLEAN("NON HWY")</f>
        <v>NON HWY</v>
      </c>
      <c r="I3185" s="2" t="str">
        <f>CLEAN("290")</f>
        <v>290</v>
      </c>
    </row>
    <row r="3186" spans="1:9" x14ac:dyDescent="0.35">
      <c r="A3186" s="2" t="str">
        <f>CLEAN("WAUKESHA")</f>
        <v>WAUKESHA</v>
      </c>
      <c r="B3186" s="2" t="str">
        <f>CLEAN("VILLAGE OF LANNON")</f>
        <v>VILLAGE OF LANNON</v>
      </c>
      <c r="C3186" s="2" t="s">
        <v>2715</v>
      </c>
      <c r="D3186" s="2" t="str">
        <f>CLEAN("2752-05-00")</f>
        <v>2752-05-00</v>
      </c>
      <c r="E3186" s="3" t="str">
        <f>CLEAN("V LANNON  GOOD HOPE RD")</f>
        <v>V LANNON  GOOD HOPE RD</v>
      </c>
      <c r="F3186" s="3" t="str">
        <f>CLEAN("CTH V TO CTH F")</f>
        <v>CTH V TO CTH F</v>
      </c>
      <c r="G3186" s="3" t="str">
        <f>CLEAN("PE/FULL PS&amp;E ROW/RECST")</f>
        <v>PE/FULL PS&amp;E ROW/RECST</v>
      </c>
      <c r="H3186" s="2" t="str">
        <f>CLEAN("LOC STR")</f>
        <v>LOC STR</v>
      </c>
      <c r="I3186" s="2" t="str">
        <f>CLEAN("206")</f>
        <v>206</v>
      </c>
    </row>
    <row r="3187" spans="1:9" x14ac:dyDescent="0.35">
      <c r="A3187" s="2" t="str">
        <f>CLEAN("OUTAGAMIE")</f>
        <v>OUTAGAMIE</v>
      </c>
      <c r="B3187" s="2" t="str">
        <f>CLEAN("VILLAGE OF LITTLE CHUTE")</f>
        <v>VILLAGE OF LITTLE CHUTE</v>
      </c>
      <c r="C3187" s="2" t="s">
        <v>848</v>
      </c>
      <c r="D3187" s="2" t="str">
        <f>CLEAN("1130-66-76")</f>
        <v>1130-66-76</v>
      </c>
      <c r="E3187" s="3" t="str">
        <f>CLEAN("APPLETON - DE PERE")</f>
        <v>APPLETON - DE PERE</v>
      </c>
      <c r="F3187" s="3" t="str">
        <f>CLEAN("CTH N INTCHG")</f>
        <v>CTH N INTCHG</v>
      </c>
      <c r="G3187" s="3" t="str">
        <f>CLEAN("CONST/RECSTE IH 41/CTH N INTCHG")</f>
        <v>CONST/RECSTE IH 41/CTH N INTCHG</v>
      </c>
      <c r="H3187" s="2" t="str">
        <f>CLEAN("CTH N")</f>
        <v>CTH N</v>
      </c>
      <c r="I3187" s="2" t="str">
        <f>CLEAN("302")</f>
        <v>302</v>
      </c>
    </row>
    <row r="3188" spans="1:9" x14ac:dyDescent="0.35">
      <c r="A3188" s="2" t="str">
        <f>CLEAN("OUTAGAMIE")</f>
        <v>OUTAGAMIE</v>
      </c>
      <c r="B3188" s="2" t="str">
        <f>CLEAN("VILLAGE OF LITTLE CHUTE")</f>
        <v>VILLAGE OF LITTLE CHUTE</v>
      </c>
      <c r="C3188" s="2" t="s">
        <v>858</v>
      </c>
      <c r="D3188" s="2" t="str">
        <f>CLEAN("1130-66-80")</f>
        <v>1130-66-80</v>
      </c>
      <c r="E3188" s="3" t="str">
        <f>CLEAN("APPLETON - DE PERE")</f>
        <v>APPLETON - DE PERE</v>
      </c>
      <c r="F3188" s="3" t="str">
        <f>CLEAN("HOLLAND ROAD OVERPASS")</f>
        <v>HOLLAND ROAD OVERPASS</v>
      </c>
      <c r="G3188" s="3" t="str">
        <f>CLEAN("CONST/RECSTE OVERPASS B440330")</f>
        <v>CONST/RECSTE OVERPASS B440330</v>
      </c>
      <c r="H3188" s="2" t="str">
        <f>CLEAN("IH  041")</f>
        <v>IH  041</v>
      </c>
      <c r="I3188" s="2" t="str">
        <f>CLEAN("302")</f>
        <v>302</v>
      </c>
    </row>
    <row r="3189" spans="1:9" x14ac:dyDescent="0.35">
      <c r="A3189" s="2" t="str">
        <f>CLEAN("OUTAGAMIE")</f>
        <v>OUTAGAMIE</v>
      </c>
      <c r="B3189" s="2" t="str">
        <f>CLEAN("VILLAGE OF LITTLE CHUTE")</f>
        <v>VILLAGE OF LITTLE CHUTE</v>
      </c>
      <c r="C3189" s="2" t="s">
        <v>859</v>
      </c>
      <c r="D3189" s="2" t="str">
        <f>CLEAN("1130-66-81")</f>
        <v>1130-66-81</v>
      </c>
      <c r="E3189" s="3" t="str">
        <f>CLEAN("APPLETON - DE PERE")</f>
        <v>APPLETON - DE PERE</v>
      </c>
      <c r="F3189" s="3" t="str">
        <f>CLEAN("VANDENBROEK RD OVERPASS")</f>
        <v>VANDENBROEK RD OVERPASS</v>
      </c>
      <c r="G3189" s="3" t="str">
        <f>CLEAN("CONST/RECSTE OVERPASS B440331")</f>
        <v>CONST/RECSTE OVERPASS B440331</v>
      </c>
      <c r="H3189" s="2" t="str">
        <f>CLEAN("IH  041")</f>
        <v>IH  041</v>
      </c>
      <c r="I3189" s="2" t="str">
        <f>CLEAN("302")</f>
        <v>302</v>
      </c>
    </row>
    <row r="3190" spans="1:9" x14ac:dyDescent="0.35">
      <c r="A3190" s="2" t="str">
        <f>CLEAN("OUTAGAMIE")</f>
        <v>OUTAGAMIE</v>
      </c>
      <c r="B3190" s="2" t="str">
        <f>CLEAN("VILLAGE OF LITTLE CHUTE")</f>
        <v>VILLAGE OF LITTLE CHUTE</v>
      </c>
      <c r="C3190" s="2" t="s">
        <v>860</v>
      </c>
      <c r="D3190" s="2" t="str">
        <f>CLEAN("1130-66-82")</f>
        <v>1130-66-82</v>
      </c>
      <c r="E3190" s="3" t="str">
        <f>CLEAN("APPLETON - DE PERE")</f>
        <v>APPLETON - DE PERE</v>
      </c>
      <c r="F3190" s="3" t="str">
        <f>CLEAN("BUCHANAN ST OVERPASS")</f>
        <v>BUCHANAN ST OVERPASS</v>
      </c>
      <c r="G3190" s="3" t="str">
        <f>CLEAN("CONST/RECSTE OVERPASS B440332")</f>
        <v>CONST/RECSTE OVERPASS B440332</v>
      </c>
      <c r="H3190" s="2" t="str">
        <f>CLEAN("IH  041")</f>
        <v>IH  041</v>
      </c>
      <c r="I3190" s="2" t="str">
        <f>CLEAN("302")</f>
        <v>302</v>
      </c>
    </row>
    <row r="3191" spans="1:9" x14ac:dyDescent="0.35">
      <c r="A3191" s="2" t="str">
        <f>CLEAN("OUTAGAMIE")</f>
        <v>OUTAGAMIE</v>
      </c>
      <c r="B3191" s="2" t="str">
        <f>CLEAN("VILLAGE OF LITTLE CHUTE")</f>
        <v>VILLAGE OF LITTLE CHUTE</v>
      </c>
      <c r="C3191" s="2" t="s">
        <v>861</v>
      </c>
      <c r="D3191" s="2" t="str">
        <f>CLEAN("1130-66-83")</f>
        <v>1130-66-83</v>
      </c>
      <c r="E3191" s="3" t="str">
        <f>CLEAN("APPLETON - DE PERE")</f>
        <v>APPLETON - DE PERE</v>
      </c>
      <c r="F3191" s="3" t="str">
        <f>CLEAN("ROSE HILL RD/CTH CC OVERPASS")</f>
        <v>ROSE HILL RD/CTH CC OVERPASS</v>
      </c>
      <c r="G3191" s="3" t="str">
        <f>CLEAN("CONST/RECSTE OVERPASS B440333")</f>
        <v>CONST/RECSTE OVERPASS B440333</v>
      </c>
      <c r="H3191" s="2" t="str">
        <f>CLEAN("IH  041")</f>
        <v>IH  041</v>
      </c>
      <c r="I3191" s="2" t="str">
        <f>CLEAN("302")</f>
        <v>302</v>
      </c>
    </row>
    <row r="3192" spans="1:9" x14ac:dyDescent="0.35">
      <c r="A3192" s="2" t="str">
        <f>CLEAN("SAUK")</f>
        <v>SAUK</v>
      </c>
      <c r="B3192" s="2" t="str">
        <f>CLEAN("VILLAGE OF LOGANVILLE")</f>
        <v>VILLAGE OF LOGANVILLE</v>
      </c>
      <c r="C3192" s="2" t="s">
        <v>349</v>
      </c>
      <c r="D3192" s="2" t="str">
        <f>CLEAN("5080-09-73")</f>
        <v>5080-09-73</v>
      </c>
      <c r="E3192" s="3" t="str">
        <f>CLEAN("SPRING GREEN - REEDSBURG")</f>
        <v>SPRING GREEN - REEDSBURG</v>
      </c>
      <c r="F3192" s="3" t="str">
        <f>CLEAN("ELDER RIDGE ROAD TO CTH K")</f>
        <v>ELDER RIDGE ROAD TO CTH K</v>
      </c>
      <c r="G3192" s="3" t="str">
        <f>CLEAN("CONST/ PAVE REPLACE")</f>
        <v>CONST/ PAVE REPLACE</v>
      </c>
      <c r="H3192" s="2" t="str">
        <f>CLEAN("STH 023")</f>
        <v>STH 023</v>
      </c>
      <c r="I3192" s="2" t="str">
        <f>CLEAN("303")</f>
        <v>303</v>
      </c>
    </row>
    <row r="3193" spans="1:9" x14ac:dyDescent="0.35">
      <c r="A3193" s="2" t="str">
        <f>CLEAN("RICHLAND")</f>
        <v>RICHLAND</v>
      </c>
      <c r="B3193" s="2" t="str">
        <f>CLEAN("VILLAGE OF LONE ROCK")</f>
        <v>VILLAGE OF LONE ROCK</v>
      </c>
      <c r="C3193" s="2" t="s">
        <v>2063</v>
      </c>
      <c r="D3193" s="2" t="str">
        <f>CLEAN("5770-00-06")</f>
        <v>5770-00-06</v>
      </c>
      <c r="E3193" s="3" t="str">
        <f>CLEAN("V LONE ROCK  SIDEWALK EXTENSION")</f>
        <v>V LONE ROCK  SIDEWALK EXTENSION</v>
      </c>
      <c r="F3193" s="3" t="str">
        <f>CLEAN("USH 14 TO E UNION STREET")</f>
        <v>USH 14 TO E UNION STREET</v>
      </c>
      <c r="G3193" s="3" t="str">
        <f>CLEAN("DESIGN/PLAN CHECK REVIEW")</f>
        <v>DESIGN/PLAN CHECK REVIEW</v>
      </c>
      <c r="H3193" s="2" t="str">
        <f>CLEAN("NON HWY")</f>
        <v>NON HWY</v>
      </c>
      <c r="I3193" s="2" t="str">
        <f>CLEAN("290")</f>
        <v>290</v>
      </c>
    </row>
    <row r="3194" spans="1:9" x14ac:dyDescent="0.35">
      <c r="A3194" s="2" t="str">
        <f>CLEAN("RICHLAND")</f>
        <v>RICHLAND</v>
      </c>
      <c r="B3194" s="2" t="str">
        <f>CLEAN("VILLAGE OF LONE ROCK")</f>
        <v>VILLAGE OF LONE ROCK</v>
      </c>
      <c r="C3194" s="2" t="s">
        <v>313</v>
      </c>
      <c r="D3194" s="2" t="str">
        <f>CLEAN("5770-00-76")</f>
        <v>5770-00-76</v>
      </c>
      <c r="E3194" s="3" t="str">
        <f>CLEAN("V LONE ROCK  STH130 SIDEWALK")</f>
        <v>V LONE ROCK  STH130 SIDEWALK</v>
      </c>
      <c r="F3194" s="3" t="str">
        <f>CLEAN("USH 14 TO E UNION STREET")</f>
        <v>USH 14 TO E UNION STREET</v>
      </c>
      <c r="G3194" s="3" t="str">
        <f>CLEAN("CONST OPS/SIDEWALK EXTENSION")</f>
        <v>CONST OPS/SIDEWALK EXTENSION</v>
      </c>
      <c r="H3194" s="2" t="str">
        <f>CLEAN("NON HWY")</f>
        <v>NON HWY</v>
      </c>
      <c r="I3194" s="2" t="str">
        <f>CLEAN("290")</f>
        <v>290</v>
      </c>
    </row>
    <row r="3195" spans="1:9" x14ac:dyDescent="0.35">
      <c r="A3195" s="2" t="str">
        <f>CLEAN("RICHLAND")</f>
        <v>RICHLAND</v>
      </c>
      <c r="B3195" s="2" t="str">
        <f>CLEAN("VILLAGE OF LONE ROCK")</f>
        <v>VILLAGE OF LONE ROCK</v>
      </c>
      <c r="C3195" s="2" t="s">
        <v>610</v>
      </c>
      <c r="D3195" s="2" t="str">
        <f>CLEAN("5770-02-71")</f>
        <v>5770-02-71</v>
      </c>
      <c r="E3195" s="3" t="str">
        <f>CLEAN("LONE ROCK - STH 154")</f>
        <v>LONE ROCK - STH 154</v>
      </c>
      <c r="F3195" s="3" t="str">
        <f>CLEAN("WISCONSIN RIVER TO USH 14")</f>
        <v>WISCONSIN RIVER TO USH 14</v>
      </c>
      <c r="G3195" s="3" t="str">
        <f>CLEAN("CONST/MILL &amp; O'LAY/RSRF")</f>
        <v>CONST/MILL &amp; O'LAY/RSRF</v>
      </c>
      <c r="H3195" s="2" t="str">
        <f>CLEAN("STH 130")</f>
        <v>STH 130</v>
      </c>
      <c r="I3195" s="2" t="str">
        <f>CLEAN("303")</f>
        <v>303</v>
      </c>
    </row>
    <row r="3196" spans="1:9" x14ac:dyDescent="0.35">
      <c r="A3196" s="2" t="str">
        <f>CLEAN("POLK")</f>
        <v>POLK</v>
      </c>
      <c r="B3196" s="2" t="str">
        <f>CLEAN("VILLAGE OF LUCK")</f>
        <v>VILLAGE OF LUCK</v>
      </c>
      <c r="C3196" s="2" t="s">
        <v>1280</v>
      </c>
      <c r="D3196" s="2" t="str">
        <f>CLEAN("8820-00-70")</f>
        <v>8820-00-70</v>
      </c>
      <c r="E3196" s="3" t="str">
        <f>CLEAN("FREDERIC - MCKINLEY")</f>
        <v>FREDERIC - MCKINLEY</v>
      </c>
      <c r="F3196" s="3" t="str">
        <f>CLEAN("STH 35 TO BASS LAKE LANE")</f>
        <v>STH 35 TO BASS LAKE LANE</v>
      </c>
      <c r="G3196" s="3" t="str">
        <f>CLEAN("CONSTRUCTION/CIR/RESURFACE")</f>
        <v>CONSTRUCTION/CIR/RESURFACE</v>
      </c>
      <c r="H3196" s="2" t="str">
        <f>CLEAN("STH 048")</f>
        <v>STH 048</v>
      </c>
      <c r="I3196" s="2" t="str">
        <f>CLEAN("303")</f>
        <v>303</v>
      </c>
    </row>
    <row r="3197" spans="1:9" x14ac:dyDescent="0.35">
      <c r="A3197" s="2" t="str">
        <f>CLEAN("MARATHON")</f>
        <v>MARATHON</v>
      </c>
      <c r="B3197" s="2" t="str">
        <f>CLEAN("VILLAGE OF MARATHON")</f>
        <v>VILLAGE OF MARATHON</v>
      </c>
      <c r="C3197" s="2" t="s">
        <v>958</v>
      </c>
      <c r="D3197" s="2" t="str">
        <f>CLEAN("6360-05-75")</f>
        <v>6360-05-75</v>
      </c>
      <c r="E3197" s="3" t="str">
        <f>CLEAN("V MARATHON CITY  MAIN STREET")</f>
        <v>V MARATHON CITY  MAIN STREET</v>
      </c>
      <c r="F3197" s="3" t="str">
        <f>CLEAN("CTH B TO NORTH STREET")</f>
        <v>CTH B TO NORTH STREET</v>
      </c>
      <c r="G3197" s="3" t="str">
        <f>CLEAN("CONST/RESURFACE")</f>
        <v>CONST/RESURFACE</v>
      </c>
      <c r="H3197" s="2" t="str">
        <f>CLEAN("STH 107")</f>
        <v>STH 107</v>
      </c>
      <c r="I3197" s="2" t="str">
        <f>CLEAN("303")</f>
        <v>303</v>
      </c>
    </row>
    <row r="3198" spans="1:9" x14ac:dyDescent="0.35">
      <c r="A3198" s="2" t="str">
        <f>CLEAN("MARATHON")</f>
        <v>MARATHON</v>
      </c>
      <c r="B3198" s="2" t="str">
        <f>CLEAN("VILLAGE OF MARATHON")</f>
        <v>VILLAGE OF MARATHON</v>
      </c>
      <c r="C3198" s="2" t="s">
        <v>1695</v>
      </c>
      <c r="D3198" s="2" t="str">
        <f>CLEAN("6663-00-03")</f>
        <v>6663-00-03</v>
      </c>
      <c r="E3198" s="3" t="str">
        <f>CLEAN("V MARATHON CITY  4TH STREET TRAIL")</f>
        <v>V MARATHON CITY  4TH STREET TRAIL</v>
      </c>
      <c r="F3198" s="3" t="str">
        <f>CLEAN("EAST STREET TO SPRING VALLEY DRIVE")</f>
        <v>EAST STREET TO SPRING VALLEY DRIVE</v>
      </c>
      <c r="G3198" s="3" t="str">
        <f>CLEAN("DESIGN OVERSITE")</f>
        <v>DESIGN OVERSITE</v>
      </c>
      <c r="H3198" s="2" t="str">
        <f>CLEAN("LOC STR")</f>
        <v>LOC STR</v>
      </c>
      <c r="I3198" s="2" t="str">
        <f>CLEAN("290")</f>
        <v>290</v>
      </c>
    </row>
    <row r="3199" spans="1:9" x14ac:dyDescent="0.35">
      <c r="A3199" s="2" t="str">
        <f>CLEAN("MARATHON")</f>
        <v>MARATHON</v>
      </c>
      <c r="B3199" s="2" t="str">
        <f>CLEAN("VILLAGE OF MARATHON")</f>
        <v>VILLAGE OF MARATHON</v>
      </c>
      <c r="C3199" s="2" t="s">
        <v>1063</v>
      </c>
      <c r="D3199" s="2" t="str">
        <f>CLEAN("6663-00-73")</f>
        <v>6663-00-73</v>
      </c>
      <c r="E3199" s="3" t="str">
        <f>CLEAN("V MARATHON CITY  4TH STREET TRAIL")</f>
        <v>V MARATHON CITY  4TH STREET TRAIL</v>
      </c>
      <c r="F3199" s="3" t="str">
        <f>CLEAN("EAST STREET TO SPRING VALLEY DRIVE")</f>
        <v>EAST STREET TO SPRING VALLEY DRIVE</v>
      </c>
      <c r="G3199" s="3" t="str">
        <f>CLEAN("CONST/TAP/MISC")</f>
        <v>CONST/TAP/MISC</v>
      </c>
      <c r="H3199" s="2" t="str">
        <f>CLEAN("LOC STR")</f>
        <v>LOC STR</v>
      </c>
      <c r="I3199" s="2" t="str">
        <f>CLEAN("290")</f>
        <v>290</v>
      </c>
    </row>
    <row r="3200" spans="1:9" x14ac:dyDescent="0.35">
      <c r="A3200" s="2" t="str">
        <f>CLEAN("GREEN LAKE")</f>
        <v>GREEN LAKE</v>
      </c>
      <c r="B3200" s="2" t="str">
        <f>CLEAN("VILLAGE OF MARQUETTE")</f>
        <v>VILLAGE OF MARQUETTE</v>
      </c>
      <c r="C3200" s="2" t="s">
        <v>540</v>
      </c>
      <c r="D3200" s="2" t="str">
        <f>CLEAN("6625-00-80")</f>
        <v>6625-00-80</v>
      </c>
      <c r="E3200" s="3" t="str">
        <f>CLEAN("MARQUETTE SOLAR SPEED CONTROL")</f>
        <v>MARQUETTE SOLAR SPEED CONTROL</v>
      </c>
      <c r="F3200" s="3" t="str">
        <f>CLEAN("VILLAGE AREA LIMITS")</f>
        <v>VILLAGE AREA LIMITS</v>
      </c>
      <c r="G3200" s="3" t="str">
        <f>CLEAN("CONST/CRP/MISC")</f>
        <v>CONST/CRP/MISC</v>
      </c>
      <c r="H3200" s="2" t="str">
        <f>CLEAN("LOC STR")</f>
        <v>LOC STR</v>
      </c>
      <c r="I3200" s="2" t="str">
        <f>CLEAN("206")</f>
        <v>206</v>
      </c>
    </row>
    <row r="3201" spans="1:9" x14ac:dyDescent="0.35">
      <c r="A3201" s="2" t="str">
        <f t="shared" ref="A3201:A3208" si="483">CLEAN("DANE")</f>
        <v>DANE</v>
      </c>
      <c r="B3201" s="2" t="str">
        <f>CLEAN("VILLAGE OF MARSHALL")</f>
        <v>VILLAGE OF MARSHALL</v>
      </c>
      <c r="C3201" s="2" t="s">
        <v>2123</v>
      </c>
      <c r="D3201" s="2" t="str">
        <f>CLEAN("3060-00-03")</f>
        <v>3060-00-03</v>
      </c>
      <c r="E3201" s="3" t="str">
        <f>CLEAN("V MARSHALL  HWY 73 PATH")</f>
        <v>V MARSHALL  HWY 73 PATH</v>
      </c>
      <c r="F3201" s="3" t="str">
        <f>CLEAN("WHISTLE STREET TO PORTER STREET")</f>
        <v>WHISTLE STREET TO PORTER STREET</v>
      </c>
      <c r="G3201" s="3" t="str">
        <f>CLEAN("DESIGN/PLAN CHECK REVIEW/PATH")</f>
        <v>DESIGN/PLAN CHECK REVIEW/PATH</v>
      </c>
      <c r="H3201" s="2" t="str">
        <f>CLEAN("NON HWY")</f>
        <v>NON HWY</v>
      </c>
      <c r="I3201" s="2" t="str">
        <f>CLEAN("290")</f>
        <v>290</v>
      </c>
    </row>
    <row r="3202" spans="1:9" x14ac:dyDescent="0.35">
      <c r="A3202" s="2" t="str">
        <f t="shared" si="483"/>
        <v>DANE</v>
      </c>
      <c r="B3202" s="2" t="str">
        <f>CLEAN("VILLAGE OF MARSHALL")</f>
        <v>VILLAGE OF MARSHALL</v>
      </c>
      <c r="C3202" s="2" t="s">
        <v>3034</v>
      </c>
      <c r="D3202" s="2" t="str">
        <f>CLEAN("3060-00-70")</f>
        <v>3060-00-70</v>
      </c>
      <c r="E3202" s="3" t="str">
        <f>CLEAN("V MARSHALL  HWY 73 PATH")</f>
        <v>V MARSHALL  HWY 73 PATH</v>
      </c>
      <c r="F3202" s="3" t="str">
        <f>CLEAN("WHISTLE STREET TO PORTER STREET")</f>
        <v>WHISTLE STREET TO PORTER STREET</v>
      </c>
      <c r="G3202" s="3" t="str">
        <f>CLEAN("PEDESTRAIN/BICYCLE MULTI-USE PATH")</f>
        <v>PEDESTRAIN/BICYCLE MULTI-USE PATH</v>
      </c>
      <c r="H3202" s="2" t="str">
        <f>CLEAN("NON HWY")</f>
        <v>NON HWY</v>
      </c>
      <c r="I3202" s="2" t="str">
        <f>CLEAN("290")</f>
        <v>290</v>
      </c>
    </row>
    <row r="3203" spans="1:9" x14ac:dyDescent="0.35">
      <c r="A3203" s="2" t="str">
        <f t="shared" si="483"/>
        <v>DANE</v>
      </c>
      <c r="B3203" s="2" t="str">
        <f t="shared" ref="B3203:B3208" si="484">CLEAN("VILLAGE OF MCFARLAND")</f>
        <v>VILLAGE OF MCFARLAND</v>
      </c>
      <c r="C3203" s="2" t="s">
        <v>2190</v>
      </c>
      <c r="D3203" s="2" t="str">
        <f>CLEAN("5685-00-04")</f>
        <v>5685-00-04</v>
      </c>
      <c r="E3203" s="3" t="str">
        <f>CLEAN("V OF MCFARLAND  EXCHANGE STREET")</f>
        <v>V OF MCFARLAND  EXCHANGE STREET</v>
      </c>
      <c r="F3203" s="3" t="str">
        <f>CLEAN("FARWELL ST TO SLEEPY HOLLOW ROAD")</f>
        <v>FARWELL ST TO SLEEPY HOLLOW ROAD</v>
      </c>
      <c r="G3203" s="3" t="str">
        <f>CLEAN("DESIGN/PLAN CHECK REVIEW/RECST")</f>
        <v>DESIGN/PLAN CHECK REVIEW/RECST</v>
      </c>
      <c r="H3203" s="2" t="str">
        <f>CLEAN("LOC STR")</f>
        <v>LOC STR</v>
      </c>
      <c r="I3203" s="2" t="str">
        <f>CLEAN("206")</f>
        <v>206</v>
      </c>
    </row>
    <row r="3204" spans="1:9" x14ac:dyDescent="0.35">
      <c r="A3204" s="2" t="str">
        <f t="shared" si="483"/>
        <v>DANE</v>
      </c>
      <c r="B3204" s="2" t="str">
        <f t="shared" si="484"/>
        <v>VILLAGE OF MCFARLAND</v>
      </c>
      <c r="C3204" s="2" t="s">
        <v>244</v>
      </c>
      <c r="D3204" s="2" t="str">
        <f>CLEAN("5685-00-05")</f>
        <v>5685-00-05</v>
      </c>
      <c r="E3204" s="3" t="str">
        <f>CLEAN("V OF MCFARLAND  EXCHANGE STREET")</f>
        <v>V OF MCFARLAND  EXCHANGE STREET</v>
      </c>
      <c r="F3204" s="3" t="str">
        <f>CLEAN("FARWELL ST TO SLEEPY HOLLOW ROAD")</f>
        <v>FARWELL ST TO SLEEPY HOLLOW ROAD</v>
      </c>
      <c r="G3204" s="3" t="str">
        <f>CLEAN("CONST OPS/RECONSTRUCTION")</f>
        <v>CONST OPS/RECONSTRUCTION</v>
      </c>
      <c r="H3204" s="2" t="str">
        <f>CLEAN("LOC STR")</f>
        <v>LOC STR</v>
      </c>
      <c r="I3204" s="2" t="str">
        <f>CLEAN("206")</f>
        <v>206</v>
      </c>
    </row>
    <row r="3205" spans="1:9" x14ac:dyDescent="0.35">
      <c r="A3205" s="2" t="str">
        <f t="shared" si="483"/>
        <v>DANE</v>
      </c>
      <c r="B3205" s="2" t="str">
        <f t="shared" si="484"/>
        <v>VILLAGE OF MCFARLAND</v>
      </c>
      <c r="C3205" s="2" t="s">
        <v>318</v>
      </c>
      <c r="D3205" s="2" t="str">
        <f>CLEAN("5685-00-06")</f>
        <v>5685-00-06</v>
      </c>
      <c r="E3205" s="3" t="str">
        <f>CLEAN("V OF MCFARLAND  EXCHANGE STREET")</f>
        <v>V OF MCFARLAND  EXCHANGE STREET</v>
      </c>
      <c r="F3205" s="3" t="str">
        <f>CLEAN("FARWELL ST TO SLEEPY HOLLOW ROAD")</f>
        <v>FARWELL ST TO SLEEPY HOLLOW ROAD</v>
      </c>
      <c r="G3205" s="3" t="str">
        <f>CLEAN("CONST OPS/UTILITIES")</f>
        <v>CONST OPS/UTILITIES</v>
      </c>
      <c r="H3205" s="2" t="str">
        <f>CLEAN("LOC STR")</f>
        <v>LOC STR</v>
      </c>
      <c r="I3205" s="2" t="str">
        <f>CLEAN("206")</f>
        <v>206</v>
      </c>
    </row>
    <row r="3206" spans="1:9" x14ac:dyDescent="0.35">
      <c r="A3206" s="2" t="str">
        <f t="shared" si="483"/>
        <v>DANE</v>
      </c>
      <c r="B3206" s="2" t="str">
        <f t="shared" si="484"/>
        <v>VILLAGE OF MCFARLAND</v>
      </c>
      <c r="C3206" s="2" t="s">
        <v>872</v>
      </c>
      <c r="D3206" s="2" t="str">
        <f>CLEAN("5845-16-76")</f>
        <v>5845-16-76</v>
      </c>
      <c r="E3206" s="3" t="str">
        <f>CLEAN("STOUGHTON - MADISON")</f>
        <v>STOUGHTON - MADISON</v>
      </c>
      <c r="F3206" s="3" t="str">
        <f>CLEAN("EXCHANGE ST TO LARSON BEACH RD")</f>
        <v>EXCHANGE ST TO LARSON BEACH RD</v>
      </c>
      <c r="G3206" s="3" t="str">
        <f>CLEAN("CONST/REPLACE B-13-907/RECST")</f>
        <v>CONST/REPLACE B-13-907/RECST</v>
      </c>
      <c r="H3206" s="2" t="str">
        <f>CLEAN("USH 051")</f>
        <v>USH 051</v>
      </c>
      <c r="I3206" s="2" t="str">
        <f>CLEAN("302")</f>
        <v>302</v>
      </c>
    </row>
    <row r="3207" spans="1:9" x14ac:dyDescent="0.35">
      <c r="A3207" s="2" t="str">
        <f t="shared" si="483"/>
        <v>DANE</v>
      </c>
      <c r="B3207" s="2" t="str">
        <f t="shared" si="484"/>
        <v>VILLAGE OF MCFARLAND</v>
      </c>
      <c r="C3207" s="2" t="s">
        <v>363</v>
      </c>
      <c r="D3207" s="2" t="str">
        <f>CLEAN("5845-16-77")</f>
        <v>5845-16-77</v>
      </c>
      <c r="E3207" s="3" t="str">
        <f>CLEAN("STOUGHTON - MADISON")</f>
        <v>STOUGHTON - MADISON</v>
      </c>
      <c r="F3207" s="3" t="str">
        <f>CLEAN("LARSON BEACH RD TO VOGES RD")</f>
        <v>LARSON BEACH RD TO VOGES RD</v>
      </c>
      <c r="G3207" s="3" t="str">
        <f>CLEAN("CONST/B-13-386 387 388 899/RECST")</f>
        <v>CONST/B-13-386 387 388 899/RECST</v>
      </c>
      <c r="H3207" s="2" t="str">
        <f>CLEAN("USH 051")</f>
        <v>USH 051</v>
      </c>
      <c r="I3207" s="2" t="str">
        <f>CLEAN("302")</f>
        <v>302</v>
      </c>
    </row>
    <row r="3208" spans="1:9" x14ac:dyDescent="0.35">
      <c r="A3208" s="2" t="str">
        <f t="shared" si="483"/>
        <v>DANE</v>
      </c>
      <c r="B3208" s="2" t="str">
        <f t="shared" si="484"/>
        <v>VILLAGE OF MCFARLAND</v>
      </c>
      <c r="C3208" s="2" t="s">
        <v>358</v>
      </c>
      <c r="D3208" s="2" t="str">
        <f>CLEAN("5845-16-78")</f>
        <v>5845-16-78</v>
      </c>
      <c r="E3208" s="3" t="str">
        <f>CLEAN("STOUGHTON - MADISON")</f>
        <v>STOUGHTON - MADISON</v>
      </c>
      <c r="F3208" s="3" t="str">
        <f>CLEAN("YAHARA DR TO DALE CURTAIN DR")</f>
        <v>YAHARA DR TO DALE CURTAIN DR</v>
      </c>
      <c r="G3208" s="3" t="str">
        <f>CLEAN("CONST/ WATER MAIN")</f>
        <v>CONST/ WATER MAIN</v>
      </c>
      <c r="H3208" s="2" t="str">
        <f>CLEAN("USH 051")</f>
        <v>USH 051</v>
      </c>
      <c r="I3208" s="2" t="str">
        <f>CLEAN("302")</f>
        <v>302</v>
      </c>
    </row>
    <row r="3209" spans="1:9" x14ac:dyDescent="0.35">
      <c r="A3209" s="2" t="str">
        <f t="shared" ref="A3209:A3218" si="485">CLEAN("WAUKESHA")</f>
        <v>WAUKESHA</v>
      </c>
      <c r="B3209" s="2" t="str">
        <f t="shared" ref="B3209:B3218" si="486">CLEAN("VILLAGE OF MENOMONEE FALLS")</f>
        <v>VILLAGE OF MENOMONEE FALLS</v>
      </c>
      <c r="C3209" s="2" t="s">
        <v>2779</v>
      </c>
      <c r="D3209" s="2" t="str">
        <f>CLEAN("2720-05-01")</f>
        <v>2720-05-01</v>
      </c>
      <c r="E3209" s="3" t="str">
        <f>CLEAN("V MENOMONEE FALLS OVERVIEW DRIVE")</f>
        <v>V MENOMONEE FALLS OVERVIEW DRIVE</v>
      </c>
      <c r="F3209" s="3" t="str">
        <f>CLEAN("BRIDGE OVER BUTLER DITCH  P-67-0774")</f>
        <v>BRIDGE OVER BUTLER DITCH  P-67-0774</v>
      </c>
      <c r="G3209" s="3" t="str">
        <f>CLEAN("PE/FULL PS&amp;E-BRRPL")</f>
        <v>PE/FULL PS&amp;E-BRRPL</v>
      </c>
      <c r="H3209" s="2" t="str">
        <f>CLEAN("LOC STR")</f>
        <v>LOC STR</v>
      </c>
      <c r="I3209" s="2" t="str">
        <f>CLEAN("205")</f>
        <v>205</v>
      </c>
    </row>
    <row r="3210" spans="1:9" x14ac:dyDescent="0.35">
      <c r="A3210" s="2" t="str">
        <f t="shared" si="485"/>
        <v>WAUKESHA</v>
      </c>
      <c r="B3210" s="2" t="str">
        <f t="shared" si="486"/>
        <v>VILLAGE OF MENOMONEE FALLS</v>
      </c>
      <c r="C3210" s="2" t="s">
        <v>2780</v>
      </c>
      <c r="D3210" s="2" t="str">
        <f>CLEAN("2720-07-01")</f>
        <v>2720-07-01</v>
      </c>
      <c r="E3210" s="3" t="str">
        <f>CLEAN("V MENOMONEE FALLS MENOMONEE AVE")</f>
        <v>V MENOMONEE FALLS MENOMONEE AVE</v>
      </c>
      <c r="F3210" s="3" t="str">
        <f>CLEAN("TOWN HALL ROAD TO STH 175")</f>
        <v>TOWN HALL ROAD TO STH 175</v>
      </c>
      <c r="G3210" s="3" t="str">
        <f>CLEAN("PE/FULL PS&amp;E-RECST")</f>
        <v>PE/FULL PS&amp;E-RECST</v>
      </c>
      <c r="H3210" s="2" t="str">
        <f>CLEAN("LOC STR")</f>
        <v>LOC STR</v>
      </c>
      <c r="I3210" s="2" t="str">
        <f>CLEAN("206")</f>
        <v>206</v>
      </c>
    </row>
    <row r="3211" spans="1:9" x14ac:dyDescent="0.35">
      <c r="A3211" s="2" t="str">
        <f t="shared" si="485"/>
        <v>WAUKESHA</v>
      </c>
      <c r="B3211" s="2" t="str">
        <f t="shared" si="486"/>
        <v>VILLAGE OF MENOMONEE FALLS</v>
      </c>
      <c r="C3211" s="2" t="s">
        <v>2693</v>
      </c>
      <c r="D3211" s="2" t="str">
        <f>CLEAN("2720-09-01")</f>
        <v>2720-09-01</v>
      </c>
      <c r="E3211" s="3" t="str">
        <f>CLEAN("V MENOMONEE FALLS  CAMPBELL DR")</f>
        <v>V MENOMONEE FALLS  CAMPBELL DR</v>
      </c>
      <c r="F3211" s="3" t="str">
        <f>CLEAN("BUTLER DITCH BRIDGE P67-0775")</f>
        <v>BUTLER DITCH BRIDGE P67-0775</v>
      </c>
      <c r="G3211" s="3" t="str">
        <f>CLEAN("PE/FULL PS&amp;E ROW/BRRPL")</f>
        <v>PE/FULL PS&amp;E ROW/BRRPL</v>
      </c>
      <c r="H3211" s="2" t="str">
        <f>CLEAN("LOC STR")</f>
        <v>LOC STR</v>
      </c>
      <c r="I3211" s="2" t="str">
        <f>CLEAN("205")</f>
        <v>205</v>
      </c>
    </row>
    <row r="3212" spans="1:9" x14ac:dyDescent="0.35">
      <c r="A3212" s="2" t="str">
        <f t="shared" si="485"/>
        <v>WAUKESHA</v>
      </c>
      <c r="B3212" s="2" t="str">
        <f t="shared" si="486"/>
        <v>VILLAGE OF MENOMONEE FALLS</v>
      </c>
      <c r="C3212" s="2" t="s">
        <v>2771</v>
      </c>
      <c r="D3212" s="2" t="str">
        <f>CLEAN("3360-05-01")</f>
        <v>3360-05-01</v>
      </c>
      <c r="E3212" s="3" t="str">
        <f>CLEAN("V MENOMONEE FALLS  APPLETON AVE")</f>
        <v>V MENOMONEE FALLS  APPLETON AVE</v>
      </c>
      <c r="F3212" s="3" t="str">
        <f>CLEAN("MENOMONEE RIVER TO SAINT FRANCIS DR")</f>
        <v>MENOMONEE RIVER TO SAINT FRANCIS DR</v>
      </c>
      <c r="G3212" s="3" t="str">
        <f>CLEAN("PE/FULL PS&amp;E/RESURFACE")</f>
        <v>PE/FULL PS&amp;E/RESURFACE</v>
      </c>
      <c r="H3212" s="2" t="str">
        <f>CLEAN("STH 175")</f>
        <v>STH 175</v>
      </c>
      <c r="I3212" s="2" t="str">
        <f>CLEAN("303")</f>
        <v>303</v>
      </c>
    </row>
    <row r="3213" spans="1:9" x14ac:dyDescent="0.35">
      <c r="A3213" s="2" t="str">
        <f t="shared" si="485"/>
        <v>WAUKESHA</v>
      </c>
      <c r="B3213" s="2" t="str">
        <f t="shared" si="486"/>
        <v>VILLAGE OF MENOMONEE FALLS</v>
      </c>
      <c r="C3213" s="2" t="s">
        <v>414</v>
      </c>
      <c r="D3213" s="2" t="str">
        <f>CLEAN("2720-05-71")</f>
        <v>2720-05-71</v>
      </c>
      <c r="E3213" s="3" t="str">
        <f>CLEAN("V MENOMONEE FALLS OVERVIEW DR")</f>
        <v>V MENOMONEE FALLS OVERVIEW DR</v>
      </c>
      <c r="F3213" s="3" t="str">
        <f>CLEAN("BRIDGE OVER BUTLER DITCH  P-67-0774")</f>
        <v>BRIDGE OVER BUTLER DITCH  P-67-0774</v>
      </c>
      <c r="G3213" s="3" t="str">
        <f>CLEAN("CONST/BRIDGE REPLACEMENT")</f>
        <v>CONST/BRIDGE REPLACEMENT</v>
      </c>
      <c r="H3213" s="2" t="str">
        <f>CLEAN("LOC STR")</f>
        <v>LOC STR</v>
      </c>
      <c r="I3213" s="2" t="str">
        <f>CLEAN("205")</f>
        <v>205</v>
      </c>
    </row>
    <row r="3214" spans="1:9" x14ac:dyDescent="0.35">
      <c r="A3214" s="2" t="str">
        <f t="shared" si="485"/>
        <v>WAUKESHA</v>
      </c>
      <c r="B3214" s="2" t="str">
        <f t="shared" si="486"/>
        <v>VILLAGE OF MENOMONEE FALLS</v>
      </c>
      <c r="C3214" s="2" t="s">
        <v>839</v>
      </c>
      <c r="D3214" s="2" t="str">
        <f>CLEAN("2720-07-71")</f>
        <v>2720-07-71</v>
      </c>
      <c r="E3214" s="3" t="str">
        <f>CLEAN("V MENOMONEE FALLS MENOMONEE AVE")</f>
        <v>V MENOMONEE FALLS MENOMONEE AVE</v>
      </c>
      <c r="F3214" s="3" t="str">
        <f>CLEAN("TOWN HALL ROAD TO STH 175")</f>
        <v>TOWN HALL ROAD TO STH 175</v>
      </c>
      <c r="G3214" s="3" t="str">
        <f>CLEAN("CONST/RECST")</f>
        <v>CONST/RECST</v>
      </c>
      <c r="H3214" s="2" t="str">
        <f>CLEAN("LOC STR")</f>
        <v>LOC STR</v>
      </c>
      <c r="I3214" s="2" t="str">
        <f>CLEAN("206")</f>
        <v>206</v>
      </c>
    </row>
    <row r="3215" spans="1:9" x14ac:dyDescent="0.35">
      <c r="A3215" s="2" t="str">
        <f t="shared" si="485"/>
        <v>WAUKESHA</v>
      </c>
      <c r="B3215" s="2" t="str">
        <f t="shared" si="486"/>
        <v>VILLAGE OF MENOMONEE FALLS</v>
      </c>
      <c r="C3215" s="2" t="s">
        <v>2653</v>
      </c>
      <c r="D3215" s="2" t="str">
        <f>CLEAN("2720-09-00")</f>
        <v>2720-09-00</v>
      </c>
      <c r="E3215" s="3" t="str">
        <f>CLEAN("LILLY ROAD")</f>
        <v>LILLY ROAD</v>
      </c>
      <c r="F3215" s="3" t="str">
        <f>CLEAN("BRIDGE OVER MENOMONEE RIVER")</f>
        <v>BRIDGE OVER MENOMONEE RIVER</v>
      </c>
      <c r="G3215" s="3" t="str">
        <f>CLEAN("PE/BRIDGE REPLACEMENT B-67-0261")</f>
        <v>PE/BRIDGE REPLACEMENT B-67-0261</v>
      </c>
      <c r="H3215" s="2" t="str">
        <f>CLEAN("LOC STR")</f>
        <v>LOC STR</v>
      </c>
      <c r="I3215" s="2" t="str">
        <f>CLEAN("205")</f>
        <v>205</v>
      </c>
    </row>
    <row r="3216" spans="1:9" x14ac:dyDescent="0.35">
      <c r="A3216" s="2" t="str">
        <f t="shared" si="485"/>
        <v>WAUKESHA</v>
      </c>
      <c r="B3216" s="2" t="str">
        <f t="shared" si="486"/>
        <v>VILLAGE OF MENOMONEE FALLS</v>
      </c>
      <c r="C3216" s="2" t="s">
        <v>477</v>
      </c>
      <c r="D3216" s="2" t="str">
        <f>CLEAN("2720-09-70")</f>
        <v>2720-09-70</v>
      </c>
      <c r="E3216" s="3" t="str">
        <f>CLEAN("LILLY ROAD")</f>
        <v>LILLY ROAD</v>
      </c>
      <c r="F3216" s="3" t="str">
        <f>CLEAN("BRIDGE OVER MENOMONEE RIVER")</f>
        <v>BRIDGE OVER MENOMONEE RIVER</v>
      </c>
      <c r="G3216" s="3" t="str">
        <f>CLEAN("CONST/BRIDGE REPLACEMENT B-67-0261")</f>
        <v>CONST/BRIDGE REPLACEMENT B-67-0261</v>
      </c>
      <c r="H3216" s="2" t="str">
        <f>CLEAN("LOC STR")</f>
        <v>LOC STR</v>
      </c>
      <c r="I3216" s="2" t="str">
        <f>CLEAN("205")</f>
        <v>205</v>
      </c>
    </row>
    <row r="3217" spans="1:9" x14ac:dyDescent="0.35">
      <c r="A3217" s="2" t="str">
        <f t="shared" si="485"/>
        <v>WAUKESHA</v>
      </c>
      <c r="B3217" s="2" t="str">
        <f t="shared" si="486"/>
        <v>VILLAGE OF MENOMONEE FALLS</v>
      </c>
      <c r="C3217" s="2" t="s">
        <v>501</v>
      </c>
      <c r="D3217" s="2" t="str">
        <f>CLEAN("2720-09-71")</f>
        <v>2720-09-71</v>
      </c>
      <c r="E3217" s="3" t="str">
        <f>CLEAN("V MENOMONEE FALLS  CAMPBELL DR")</f>
        <v>V MENOMONEE FALLS  CAMPBELL DR</v>
      </c>
      <c r="F3217" s="3" t="str">
        <f>CLEAN("BUTLER DITCH BRIDGE P67-0775")</f>
        <v>BUTLER DITCH BRIDGE P67-0775</v>
      </c>
      <c r="G3217" s="3" t="str">
        <f>CLEAN("CONST/BRRPL")</f>
        <v>CONST/BRRPL</v>
      </c>
      <c r="H3217" s="2" t="str">
        <f>CLEAN("LOC STR")</f>
        <v>LOC STR</v>
      </c>
      <c r="I3217" s="2" t="str">
        <f>CLEAN("205")</f>
        <v>205</v>
      </c>
    </row>
    <row r="3218" spans="1:9" x14ac:dyDescent="0.35">
      <c r="A3218" s="2" t="str">
        <f t="shared" si="485"/>
        <v>WAUKESHA</v>
      </c>
      <c r="B3218" s="2" t="str">
        <f t="shared" si="486"/>
        <v>VILLAGE OF MENOMONEE FALLS</v>
      </c>
      <c r="C3218" s="2" t="s">
        <v>586</v>
      </c>
      <c r="D3218" s="2" t="str">
        <f>CLEAN("2782-13-70")</f>
        <v>2782-13-70</v>
      </c>
      <c r="E3218" s="3" t="str">
        <f>CLEAN("STH 175")</f>
        <v>STH 175</v>
      </c>
      <c r="F3218" s="3" t="str">
        <f>CLEAN("INT WITH PILGRIM RD &amp; MENOMONEE AVE")</f>
        <v>INT WITH PILGRIM RD &amp; MENOMONEE AVE</v>
      </c>
      <c r="G3218" s="3" t="str">
        <f>CLEAN("CONST/INTERSECTION MODIFICATION")</f>
        <v>CONST/INTERSECTION MODIFICATION</v>
      </c>
      <c r="H3218" s="2" t="str">
        <f>CLEAN("STH 175")</f>
        <v>STH 175</v>
      </c>
      <c r="I3218" s="2" t="str">
        <f>CLEAN("303")</f>
        <v>303</v>
      </c>
    </row>
    <row r="3219" spans="1:9" x14ac:dyDescent="0.35">
      <c r="A3219" s="2" t="str">
        <f>CLEAN("POLK")</f>
        <v>POLK</v>
      </c>
      <c r="B3219" s="2" t="str">
        <f>CLEAN("VILLAGE OF MILLTOWN")</f>
        <v>VILLAGE OF MILLTOWN</v>
      </c>
      <c r="C3219" s="2" t="s">
        <v>1069</v>
      </c>
      <c r="D3219" s="2" t="str">
        <f>CLEAN("8416-00-70")</f>
        <v>8416-00-70</v>
      </c>
      <c r="E3219" s="3" t="str">
        <f>CLEAN("V MILLTOWN  TIGER ST &amp; 4TH AVE")</f>
        <v>V MILLTOWN  TIGER ST &amp; 4TH AVE</v>
      </c>
      <c r="F3219" s="3" t="str">
        <f>CLEAN("ROCKSHIELD RUBBER COMPANY")</f>
        <v>ROCKSHIELD RUBBER COMPANY</v>
      </c>
      <c r="G3219" s="3" t="str">
        <f>CLEAN("CONST/TEA/RECONSTRUCTION")</f>
        <v>CONST/TEA/RECONSTRUCTION</v>
      </c>
      <c r="H3219" s="2" t="str">
        <f>CLEAN("LOC STR")</f>
        <v>LOC STR</v>
      </c>
      <c r="I3219" s="2" t="str">
        <f>CLEAN("209")</f>
        <v>209</v>
      </c>
    </row>
    <row r="3220" spans="1:9" x14ac:dyDescent="0.35">
      <c r="A3220" s="2" t="str">
        <f t="shared" ref="A3220:A3226" si="487">CLEAN("RACINE")</f>
        <v>RACINE</v>
      </c>
      <c r="B3220" s="2" t="str">
        <f t="shared" ref="B3220:B3226" si="488">CLEAN("VILLAGE OF MOUNT PLEASANT")</f>
        <v>VILLAGE OF MOUNT PLEASANT</v>
      </c>
      <c r="C3220" s="2" t="s">
        <v>963</v>
      </c>
      <c r="D3220" s="2" t="str">
        <f>CLEAN("1030-09-76")</f>
        <v>1030-09-76</v>
      </c>
      <c r="E3220" s="3" t="str">
        <f>CLEAN("IH 41 NORTH SOUTH FREEWAY")</f>
        <v>IH 41 NORTH SOUTH FREEWAY</v>
      </c>
      <c r="F3220" s="3" t="str">
        <f>CLEAN("EAST AND WEST FRONTAGE ROADS")</f>
        <v>EAST AND WEST FRONTAGE ROADS</v>
      </c>
      <c r="G3220" s="3" t="str">
        <f>CLEAN("CONST/RESURFACE")</f>
        <v>CONST/RESURFACE</v>
      </c>
      <c r="H3220" s="2" t="str">
        <f>CLEAN("OFF SYS")</f>
        <v>OFF SYS</v>
      </c>
      <c r="I3220" s="2" t="str">
        <f t="shared" ref="I3220:I3229" si="489">CLEAN("303")</f>
        <v>303</v>
      </c>
    </row>
    <row r="3221" spans="1:9" x14ac:dyDescent="0.35">
      <c r="A3221" s="2" t="str">
        <f t="shared" si="487"/>
        <v>RACINE</v>
      </c>
      <c r="B3221" s="2" t="str">
        <f t="shared" si="488"/>
        <v>VILLAGE OF MOUNT PLEASANT</v>
      </c>
      <c r="C3221" s="2" t="s">
        <v>980</v>
      </c>
      <c r="D3221" s="2" t="str">
        <f>CLEAN("2250-15-70")</f>
        <v>2250-15-70</v>
      </c>
      <c r="E3221" s="3" t="str">
        <f>CLEAN("WASHINGTON AVE - VIL OF MT PLEASANT")</f>
        <v>WASHINGTON AVE - VIL OF MT PLEASANT</v>
      </c>
      <c r="F3221" s="3" t="str">
        <f>CLEAN("OAKES RD TO STH 31")</f>
        <v>OAKES RD TO STH 31</v>
      </c>
      <c r="G3221" s="3" t="str">
        <f>CLEAN("CONST/RESURFACE")</f>
        <v>CONST/RESURFACE</v>
      </c>
      <c r="H3221" s="2" t="str">
        <f>CLEAN("STH 020")</f>
        <v>STH 020</v>
      </c>
      <c r="I3221" s="2" t="str">
        <f t="shared" si="489"/>
        <v>303</v>
      </c>
    </row>
    <row r="3222" spans="1:9" x14ac:dyDescent="0.35">
      <c r="A3222" s="2" t="str">
        <f t="shared" si="487"/>
        <v>RACINE</v>
      </c>
      <c r="B3222" s="2" t="str">
        <f t="shared" si="488"/>
        <v>VILLAGE OF MOUNT PLEASANT</v>
      </c>
      <c r="C3222" s="2" t="s">
        <v>779</v>
      </c>
      <c r="D3222" s="2" t="str">
        <f>CLEAN("2390-12-70")</f>
        <v>2390-12-70</v>
      </c>
      <c r="E3222" s="3" t="str">
        <f>CLEAN("PLEASANT PRAIRIE - CALEDONIA")</f>
        <v>PLEASANT PRAIRIE - CALEDONIA</v>
      </c>
      <c r="F3222" s="3" t="str">
        <f>CLEAN("STH 11 TO STH 20")</f>
        <v>STH 11 TO STH 20</v>
      </c>
      <c r="G3222" s="3" t="str">
        <f>CLEAN("CONST/RECONSTRUCT")</f>
        <v>CONST/RECONSTRUCT</v>
      </c>
      <c r="H3222" s="2" t="str">
        <f>CLEAN("STH 031")</f>
        <v>STH 031</v>
      </c>
      <c r="I3222" s="2" t="str">
        <f t="shared" si="489"/>
        <v>303</v>
      </c>
    </row>
    <row r="3223" spans="1:9" x14ac:dyDescent="0.35">
      <c r="A3223" s="2" t="str">
        <f t="shared" si="487"/>
        <v>RACINE</v>
      </c>
      <c r="B3223" s="2" t="str">
        <f t="shared" si="488"/>
        <v>VILLAGE OF MOUNT PLEASANT</v>
      </c>
      <c r="C3223" s="2" t="s">
        <v>647</v>
      </c>
      <c r="D3223" s="2" t="str">
        <f>CLEAN("2704-00-75")</f>
        <v>2704-00-75</v>
      </c>
      <c r="E3223" s="3" t="str">
        <f>CLEAN("INTERNATIONAL DR  V MOUNT PLEASANT")</f>
        <v>INTERNATIONAL DR  V MOUNT PLEASANT</v>
      </c>
      <c r="F3223" s="3" t="str">
        <f>CLEAN("STH 11 TO STH 20")</f>
        <v>STH 11 TO STH 20</v>
      </c>
      <c r="G3223" s="3" t="str">
        <f>CLEAN("CONST/NEW ROADWAY")</f>
        <v>CONST/NEW ROADWAY</v>
      </c>
      <c r="H3223" s="2" t="str">
        <f>CLEAN("LOC STR")</f>
        <v>LOC STR</v>
      </c>
      <c r="I3223" s="2" t="str">
        <f t="shared" si="489"/>
        <v>303</v>
      </c>
    </row>
    <row r="3224" spans="1:9" x14ac:dyDescent="0.35">
      <c r="A3224" s="2" t="str">
        <f t="shared" si="487"/>
        <v>RACINE</v>
      </c>
      <c r="B3224" s="2" t="str">
        <f t="shared" si="488"/>
        <v>VILLAGE OF MOUNT PLEASANT</v>
      </c>
      <c r="C3224" s="2" t="s">
        <v>687</v>
      </c>
      <c r="D3224" s="2" t="str">
        <f>CLEAN("2704-00-79")</f>
        <v>2704-00-79</v>
      </c>
      <c r="E3224" s="3" t="str">
        <f>CLEAN("DEVELOPMENT RDS  SHARED USE PATHS")</f>
        <v>DEVELOPMENT RDS  SHARED USE PATHS</v>
      </c>
      <c r="F3224" s="3" t="str">
        <f>CLEAN("DEVELOPMENT ROADS")</f>
        <v>DEVELOPMENT ROADS</v>
      </c>
      <c r="G3224" s="3" t="str">
        <f>CLEAN("CONST/PEDESTRIAN  BIKE PATH")</f>
        <v>CONST/PEDESTRIAN  BIKE PATH</v>
      </c>
      <c r="H3224" s="2" t="str">
        <f>CLEAN("NON HWY")</f>
        <v>NON HWY</v>
      </c>
      <c r="I3224" s="2" t="str">
        <f t="shared" si="489"/>
        <v>303</v>
      </c>
    </row>
    <row r="3225" spans="1:9" x14ac:dyDescent="0.35">
      <c r="A3225" s="2" t="str">
        <f t="shared" si="487"/>
        <v>RACINE</v>
      </c>
      <c r="B3225" s="2" t="str">
        <f t="shared" si="488"/>
        <v>VILLAGE OF MOUNT PLEASANT</v>
      </c>
      <c r="C3225" s="2" t="s">
        <v>787</v>
      </c>
      <c r="D3225" s="2" t="str">
        <f>CLEAN("2704-09-70")</f>
        <v>2704-09-70</v>
      </c>
      <c r="E3225" s="3" t="str">
        <f>CLEAN("BRAUN ROAD")</f>
        <v>BRAUN ROAD</v>
      </c>
      <c r="F3225" s="3" t="str">
        <f>CLEAN("IH94 EFR TO CTH H")</f>
        <v>IH94 EFR TO CTH H</v>
      </c>
      <c r="G3225" s="3" t="str">
        <f>CLEAN("CONST/RECONSTRUCT ADDL LANES")</f>
        <v>CONST/RECONSTRUCT ADDL LANES</v>
      </c>
      <c r="H3225" s="2" t="str">
        <f>CLEAN("LOC STR")</f>
        <v>LOC STR</v>
      </c>
      <c r="I3225" s="2" t="str">
        <f t="shared" si="489"/>
        <v>303</v>
      </c>
    </row>
    <row r="3226" spans="1:9" x14ac:dyDescent="0.35">
      <c r="A3226" s="2" t="str">
        <f t="shared" si="487"/>
        <v>RACINE</v>
      </c>
      <c r="B3226" s="2" t="str">
        <f t="shared" si="488"/>
        <v>VILLAGE OF MOUNT PLEASANT</v>
      </c>
      <c r="C3226" s="2" t="s">
        <v>753</v>
      </c>
      <c r="D3226" s="2" t="str">
        <f>CLEAN("3763-00-74")</f>
        <v>3763-00-74</v>
      </c>
      <c r="E3226" s="3" t="str">
        <f>CLEAN("CTH KR  V MT PLEASANT")</f>
        <v>CTH KR  V MT PLEASANT</v>
      </c>
      <c r="F3226" s="3" t="str">
        <f>CLEAN("CTH H TO OLD GREENBAY ROAD")</f>
        <v>CTH H TO OLD GREENBAY ROAD</v>
      </c>
      <c r="G3226" s="3" t="str">
        <f>CLEAN("CONST/RECONST W/ ADDED CAPACITY")</f>
        <v>CONST/RECONST W/ ADDED CAPACITY</v>
      </c>
      <c r="H3226" s="2" t="str">
        <f>CLEAN("CTH KR")</f>
        <v>CTH KR</v>
      </c>
      <c r="I3226" s="2" t="str">
        <f t="shared" si="489"/>
        <v>303</v>
      </c>
    </row>
    <row r="3227" spans="1:9" x14ac:dyDescent="0.35">
      <c r="A3227" s="2" t="str">
        <f>CLEAN("CRAWFORD")</f>
        <v>CRAWFORD</v>
      </c>
      <c r="B3227" s="2" t="str">
        <f>CLEAN("VILLAGE OF MOUNT STERLING")</f>
        <v>VILLAGE OF MOUNT STERLING</v>
      </c>
      <c r="C3227" s="2" t="s">
        <v>362</v>
      </c>
      <c r="D3227" s="2" t="str">
        <f>CLEAN("5790-02-72")</f>
        <v>5790-02-72</v>
      </c>
      <c r="E3227" s="3" t="str">
        <f>CLEAN("FERRYVILLE - ROLLING GROUND")</f>
        <v>FERRYVILLE - ROLLING GROUND</v>
      </c>
      <c r="F3227" s="3" t="str">
        <f>CLEAN("STH 27 TO USH 61")</f>
        <v>STH 27 TO USH 61</v>
      </c>
      <c r="G3227" s="3" t="str">
        <f>CLEAN("CONST/B-12-137/PVRPLA")</f>
        <v>CONST/B-12-137/PVRPLA</v>
      </c>
      <c r="H3227" s="2" t="str">
        <f>CLEAN("STH 171")</f>
        <v>STH 171</v>
      </c>
      <c r="I3227" s="2" t="str">
        <f t="shared" si="489"/>
        <v>303</v>
      </c>
    </row>
    <row r="3228" spans="1:9" x14ac:dyDescent="0.35">
      <c r="A3228" s="2" t="str">
        <f>CLEAN("WALWORTH")</f>
        <v>WALWORTH</v>
      </c>
      <c r="B3228" s="2" t="str">
        <f>CLEAN("VILLAGE OF MUKWONAGO")</f>
        <v>VILLAGE OF MUKWONAGO</v>
      </c>
      <c r="C3228" s="2" t="s">
        <v>668</v>
      </c>
      <c r="D3228" s="2" t="str">
        <f>CLEAN("1090-09-75")</f>
        <v>1090-09-75</v>
      </c>
      <c r="E3228" s="3" t="str">
        <f>CLEAN("IH 43 ROCK FREEWAY")</f>
        <v>IH 43 ROCK FREEWAY</v>
      </c>
      <c r="F3228" s="3" t="str">
        <f>CLEAN("STH 20 TO STH 83")</f>
        <v>STH 20 TO STH 83</v>
      </c>
      <c r="G3228" s="3" t="str">
        <f>CLEAN("CONST/PAVEMENT REPLACEMENT")</f>
        <v>CONST/PAVEMENT REPLACEMENT</v>
      </c>
      <c r="H3228" s="2" t="str">
        <f>CLEAN("IH  043")</f>
        <v>IH  043</v>
      </c>
      <c r="I3228" s="2" t="str">
        <f t="shared" si="489"/>
        <v>303</v>
      </c>
    </row>
    <row r="3229" spans="1:9" x14ac:dyDescent="0.35">
      <c r="A3229" s="2" t="str">
        <f>CLEAN("WAUKESHA")</f>
        <v>WAUKESHA</v>
      </c>
      <c r="B3229" s="2" t="str">
        <f>CLEAN("VILLAGE OF MUKWONAGO")</f>
        <v>VILLAGE OF MUKWONAGO</v>
      </c>
      <c r="C3229" s="2" t="s">
        <v>705</v>
      </c>
      <c r="D3229" s="2" t="str">
        <f>CLEAN("1300-09-71")</f>
        <v>1300-09-71</v>
      </c>
      <c r="E3229" s="3" t="str">
        <f>CLEAN("NORTHWEST HIGHWAY (STH 83)")</f>
        <v>NORTHWEST HIGHWAY (STH 83)</v>
      </c>
      <c r="F3229" s="3" t="str">
        <f>CLEAN("W BOXHORN DR TO WOLF RUN")</f>
        <v>W BOXHORN DR TO WOLF RUN</v>
      </c>
      <c r="G3229" s="3" t="str">
        <f>CLEAN("CONST/PSRS40")</f>
        <v>CONST/PSRS40</v>
      </c>
      <c r="H3229" s="2" t="str">
        <f>CLEAN("STH 083")</f>
        <v>STH 083</v>
      </c>
      <c r="I3229" s="2" t="str">
        <f t="shared" si="489"/>
        <v>303</v>
      </c>
    </row>
    <row r="3230" spans="1:9" x14ac:dyDescent="0.35">
      <c r="A3230" s="2" t="str">
        <f>CLEAN("MILWAUKEE")</f>
        <v>MILWAUKEE</v>
      </c>
      <c r="B3230" s="2" t="str">
        <f>CLEAN("VILLAGE OF MUKWONAGO")</f>
        <v>VILLAGE OF MUKWONAGO</v>
      </c>
      <c r="C3230" s="2" t="s">
        <v>3353</v>
      </c>
      <c r="D3230" s="2" t="str">
        <f>CLEAN("3700-20-74")</f>
        <v>3700-20-74</v>
      </c>
      <c r="E3230" s="3" t="str">
        <f>CLEAN("REPLACE EXISTING SIGNALS  MILW/WAUK")</f>
        <v>REPLACE EXISTING SIGNALS  MILW/WAUK</v>
      </c>
      <c r="F3230" s="3" t="str">
        <f>CLEAN("VARIOUS LOCATIONS")</f>
        <v>VARIOUS LOCATIONS</v>
      </c>
      <c r="G3230" s="3" t="str">
        <f>CLEAN("TRAFFI/REPLACE SIGNALS MILW/WAUK CO")</f>
        <v>TRAFFI/REPLACE SIGNALS MILW/WAUK CO</v>
      </c>
      <c r="H3230" s="2" t="str">
        <f>CLEAN("VAR HWY")</f>
        <v>VAR HWY</v>
      </c>
      <c r="I3230" s="2" t="str">
        <f>CLEAN("305")</f>
        <v>305</v>
      </c>
    </row>
    <row r="3231" spans="1:9" x14ac:dyDescent="0.35">
      <c r="A3231" s="2" t="str">
        <f>CLEAN("JUNEAU")</f>
        <v>JUNEAU</v>
      </c>
      <c r="B3231" s="2" t="str">
        <f>CLEAN("VILLAGE OF NECEDAH")</f>
        <v>VILLAGE OF NECEDAH</v>
      </c>
      <c r="C3231" s="2" t="s">
        <v>940</v>
      </c>
      <c r="D3231" s="2" t="str">
        <f>CLEAN("1620-02-78")</f>
        <v>1620-02-78</v>
      </c>
      <c r="E3231" s="3" t="str">
        <f>CLEAN("NECEDAH - BABCOCK")</f>
        <v>NECEDAH - BABCOCK</v>
      </c>
      <c r="F3231" s="3" t="str">
        <f>CLEAN("STH 21 TO COUNTY LINE ROAD")</f>
        <v>STH 21 TO COUNTY LINE ROAD</v>
      </c>
      <c r="G3231" s="3" t="str">
        <f>CLEAN("CONST/REPLACEMENT B-29-159/RSRF")</f>
        <v>CONST/REPLACEMENT B-29-159/RSRF</v>
      </c>
      <c r="H3231" s="2" t="str">
        <f>CLEAN("STH 080")</f>
        <v>STH 080</v>
      </c>
      <c r="I3231" s="2" t="str">
        <f>CLEAN("303")</f>
        <v>303</v>
      </c>
    </row>
    <row r="3232" spans="1:9" x14ac:dyDescent="0.35">
      <c r="A3232" s="2" t="str">
        <f>CLEAN("JUNEAU")</f>
        <v>JUNEAU</v>
      </c>
      <c r="B3232" s="2" t="str">
        <f>CLEAN("VILLAGE OF NECEDAH")</f>
        <v>VILLAGE OF NECEDAH</v>
      </c>
      <c r="C3232" s="2" t="s">
        <v>609</v>
      </c>
      <c r="D3232" s="2" t="str">
        <f>CLEAN("6160-00-70")</f>
        <v>6160-00-70</v>
      </c>
      <c r="E3232" s="3" t="str">
        <f>CLEAN("NECEDAH - COLOMA")</f>
        <v>NECEDAH - COLOMA</v>
      </c>
      <c r="F3232" s="3" t="str">
        <f>CLEAN("SHERIDAN STREET TO EAST COUNTY LINE")</f>
        <v>SHERIDAN STREET TO EAST COUNTY LINE</v>
      </c>
      <c r="G3232" s="3" t="str">
        <f>CLEAN("CONST/MILL &amp; O'LAY/RSRF")</f>
        <v>CONST/MILL &amp; O'LAY/RSRF</v>
      </c>
      <c r="H3232" s="2" t="str">
        <f>CLEAN("STH 021")</f>
        <v>STH 021</v>
      </c>
      <c r="I3232" s="2" t="str">
        <f>CLEAN("303")</f>
        <v>303</v>
      </c>
    </row>
    <row r="3233" spans="1:9" x14ac:dyDescent="0.35">
      <c r="A3233" s="2" t="str">
        <f>CLEAN("WAUSHARA")</f>
        <v>WAUSHARA</v>
      </c>
      <c r="B3233" s="2" t="str">
        <f>CLEAN("VILLAGE OF NESHKORO")</f>
        <v>VILLAGE OF NESHKORO</v>
      </c>
      <c r="C3233" s="2" t="s">
        <v>1000</v>
      </c>
      <c r="D3233" s="2" t="str">
        <f>CLEAN("6530-01-70")</f>
        <v>6530-01-70</v>
      </c>
      <c r="E3233" s="3" t="str">
        <f>CLEAN("PRINCETON - PLAINFIELD")</f>
        <v>PRINCETON - PLAINFIELD</v>
      </c>
      <c r="F3233" s="3" t="str">
        <f>CLEAN("WHITE RIVER BRIDGE TO STH 21")</f>
        <v>WHITE RIVER BRIDGE TO STH 21</v>
      </c>
      <c r="G3233" s="3" t="str">
        <f>CLEAN("CONST/RESURFACE")</f>
        <v>CONST/RESURFACE</v>
      </c>
      <c r="H3233" s="2" t="str">
        <f>CLEAN("STH 073")</f>
        <v>STH 073</v>
      </c>
      <c r="I3233" s="2" t="str">
        <f>CLEAN("303")</f>
        <v>303</v>
      </c>
    </row>
    <row r="3234" spans="1:9" x14ac:dyDescent="0.35">
      <c r="A3234" s="2" t="str">
        <f>CLEAN("GREEN")</f>
        <v>GREEN</v>
      </c>
      <c r="B3234" s="2" t="str">
        <f>CLEAN("VILLAGE OF NEW GLARUS")</f>
        <v>VILLAGE OF NEW GLARUS</v>
      </c>
      <c r="C3234" s="2" t="s">
        <v>2051</v>
      </c>
      <c r="D3234" s="2" t="str">
        <f>CLEAN("5107-00-06")</f>
        <v>5107-00-06</v>
      </c>
      <c r="E3234" s="3" t="str">
        <f>CLEAN("V NEW GLARUS  RRFBS")</f>
        <v>V NEW GLARUS  RRFBS</v>
      </c>
      <c r="F3234" s="3" t="str">
        <f>CLEAN("2ND STRRET  VARIOUS LOCATIONS")</f>
        <v>2ND STRRET  VARIOUS LOCATIONS</v>
      </c>
      <c r="G3234" s="3" t="str">
        <f>CLEAN("DESIGN/PLAN CHECK REVIEW")</f>
        <v>DESIGN/PLAN CHECK REVIEW</v>
      </c>
      <c r="H3234" s="2" t="str">
        <f>CLEAN("NON HWY")</f>
        <v>NON HWY</v>
      </c>
      <c r="I3234" s="2" t="str">
        <f>CLEAN("290")</f>
        <v>290</v>
      </c>
    </row>
    <row r="3235" spans="1:9" x14ac:dyDescent="0.35">
      <c r="A3235" s="2" t="str">
        <f>CLEAN("WASHINGTON")</f>
        <v>WASHINGTON</v>
      </c>
      <c r="B3235" s="2" t="str">
        <f>CLEAN("VILLAGE OF NEWBURG")</f>
        <v>VILLAGE OF NEWBURG</v>
      </c>
      <c r="C3235" s="2" t="s">
        <v>948</v>
      </c>
      <c r="D3235" s="2" t="str">
        <f>CLEAN("1410-00-73")</f>
        <v>1410-00-73</v>
      </c>
      <c r="E3235" s="3" t="str">
        <f>CLEAN("WEST BEND TO NEWBURG  T OF TRENTON")</f>
        <v>WEST BEND TO NEWBURG  T OF TRENTON</v>
      </c>
      <c r="F3235" s="3" t="str">
        <f>CLEAN("1/2 MI WEST OF N POPLAR RD TO CTH Y")</f>
        <v>1/2 MI WEST OF N POPLAR RD TO CTH Y</v>
      </c>
      <c r="G3235" s="3" t="str">
        <f>CLEAN("CONST/RESURFACE")</f>
        <v>CONST/RESURFACE</v>
      </c>
      <c r="H3235" s="2" t="str">
        <f>CLEAN("STH 033")</f>
        <v>STH 033</v>
      </c>
      <c r="I3235" s="2" t="str">
        <f>CLEAN("303")</f>
        <v>303</v>
      </c>
    </row>
    <row r="3236" spans="1:9" x14ac:dyDescent="0.35">
      <c r="A3236" s="2" t="str">
        <f>CLEAN("FOND DU LAC")</f>
        <v>FOND DU LAC</v>
      </c>
      <c r="B3236" s="2" t="str">
        <f>CLEAN("VILLAGE OF NORTH FOND DU LAC")</f>
        <v>VILLAGE OF NORTH FOND DU LAC</v>
      </c>
      <c r="C3236" s="2" t="s">
        <v>2388</v>
      </c>
      <c r="D3236" s="2" t="str">
        <f>CLEAN("4120-09-00")</f>
        <v>4120-09-00</v>
      </c>
      <c r="E3236" s="3" t="str">
        <f>CLEAN("V NORTH FOND DU LAC  PROSPECT AVE")</f>
        <v>V NORTH FOND DU LAC  PROSPECT AVE</v>
      </c>
      <c r="F3236" s="3" t="str">
        <f>CLEAN("NORTHWEST WAY - WESTWOOD AVE")</f>
        <v>NORTHWEST WAY - WESTWOOD AVE</v>
      </c>
      <c r="G3236" s="3" t="str">
        <f>CLEAN("DSGN/FULL PSE/MISC")</f>
        <v>DSGN/FULL PSE/MISC</v>
      </c>
      <c r="H3236" s="2" t="str">
        <f>CLEAN("LOC STR")</f>
        <v>LOC STR</v>
      </c>
      <c r="I3236" s="2" t="str">
        <f>CLEAN("206")</f>
        <v>206</v>
      </c>
    </row>
    <row r="3237" spans="1:9" x14ac:dyDescent="0.35">
      <c r="A3237" s="2" t="str">
        <f>CLEAN("FOND DU LAC")</f>
        <v>FOND DU LAC</v>
      </c>
      <c r="B3237" s="2" t="str">
        <f>CLEAN("VILLAGE OF NORTH FOND DU LAC")</f>
        <v>VILLAGE OF NORTH FOND DU LAC</v>
      </c>
      <c r="C3237" s="2" t="s">
        <v>2356</v>
      </c>
      <c r="D3237" s="2" t="str">
        <f>CLEAN("4986-00-58")</f>
        <v>4986-00-58</v>
      </c>
      <c r="E3237" s="3" t="str">
        <f>CLEAN("V NORTH FOND DU LAC MCKINLEY STREET")</f>
        <v>V NORTH FOND DU LAC MCKINLEY STREET</v>
      </c>
      <c r="F3237" s="3" t="str">
        <f>CLEAN("MOSHER CREEK BRIDGE")</f>
        <v>MOSHER CREEK BRIDGE</v>
      </c>
      <c r="G3237" s="3" t="str">
        <f>CLEAN("DSGN/FULL PSE/BRRPL")</f>
        <v>DSGN/FULL PSE/BRRPL</v>
      </c>
      <c r="H3237" s="2" t="str">
        <f>CLEAN("LOC STR")</f>
        <v>LOC STR</v>
      </c>
      <c r="I3237" s="2" t="str">
        <f>CLEAN("205")</f>
        <v>205</v>
      </c>
    </row>
    <row r="3238" spans="1:9" x14ac:dyDescent="0.35">
      <c r="A3238" s="2" t="str">
        <f>CLEAN("FOND DU LAC")</f>
        <v>FOND DU LAC</v>
      </c>
      <c r="B3238" s="2" t="str">
        <f>CLEAN("VILLAGE OF NORTH FOND DU LAC")</f>
        <v>VILLAGE OF NORTH FOND DU LAC</v>
      </c>
      <c r="C3238" s="2" t="s">
        <v>2472</v>
      </c>
      <c r="D3238" s="2" t="str">
        <f>CLEAN("4986-00-64")</f>
        <v>4986-00-64</v>
      </c>
      <c r="E3238" s="3" t="str">
        <f>CLEAN("V NORTH FOND DU LAC  MINNESOTA AVE")</f>
        <v>V NORTH FOND DU LAC  MINNESOTA AVE</v>
      </c>
      <c r="F3238" s="3" t="str">
        <f>CLEAN("CHAPLEAU STREET TO ANNE STREET")</f>
        <v>CHAPLEAU STREET TO ANNE STREET</v>
      </c>
      <c r="G3238" s="3" t="str">
        <f>CLEAN("DSN/FULL PSE/RECST")</f>
        <v>DSN/FULL PSE/RECST</v>
      </c>
      <c r="H3238" s="2" t="str">
        <f>CLEAN("LOC STR")</f>
        <v>LOC STR</v>
      </c>
      <c r="I3238" s="2" t="str">
        <f>CLEAN("206")</f>
        <v>206</v>
      </c>
    </row>
    <row r="3239" spans="1:9" x14ac:dyDescent="0.35">
      <c r="A3239" s="2" t="str">
        <f>CLEAN("FOND DU LAC")</f>
        <v>FOND DU LAC</v>
      </c>
      <c r="B3239" s="2" t="str">
        <f>CLEAN("VILLAGE OF NORTH FOND DU LAC")</f>
        <v>VILLAGE OF NORTH FOND DU LAC</v>
      </c>
      <c r="C3239" s="2" t="s">
        <v>269</v>
      </c>
      <c r="D3239" s="2" t="str">
        <f>CLEAN("4986-00-65")</f>
        <v>4986-00-65</v>
      </c>
      <c r="E3239" s="3" t="str">
        <f>CLEAN("V NORTH FOND DU LAC  MINNESOTA AVE")</f>
        <v>V NORTH FOND DU LAC  MINNESOTA AVE</v>
      </c>
      <c r="F3239" s="3" t="str">
        <f>CLEAN("CHAPLEAU STREET TO ANNE STREET")</f>
        <v>CHAPLEAU STREET TO ANNE STREET</v>
      </c>
      <c r="G3239" s="3" t="str">
        <f>CLEAN("CONST OPS/RECST")</f>
        <v>CONST OPS/RECST</v>
      </c>
      <c r="H3239" s="2" t="str">
        <f>CLEAN("LOC STR")</f>
        <v>LOC STR</v>
      </c>
      <c r="I3239" s="2" t="str">
        <f>CLEAN("206")</f>
        <v>206</v>
      </c>
    </row>
    <row r="3240" spans="1:9" x14ac:dyDescent="0.35">
      <c r="A3240" s="2" t="str">
        <f>CLEAN("ST. CROIX")</f>
        <v>ST. CROIX</v>
      </c>
      <c r="B3240" s="2" t="str">
        <f>CLEAN("VILLAGE OF NORTH HUDSON")</f>
        <v>VILLAGE OF NORTH HUDSON</v>
      </c>
      <c r="C3240" s="2" t="s">
        <v>1660</v>
      </c>
      <c r="D3240" s="2" t="str">
        <f>CLEAN("8999-00-90")</f>
        <v>8999-00-90</v>
      </c>
      <c r="E3240" s="3" t="str">
        <f>CLEAN("V NORTH HUDSON  MONROE ST N")</f>
        <v>V NORTH HUDSON  MONROE ST N</v>
      </c>
      <c r="F3240" s="3" t="str">
        <f>CLEAN("LEMON STREET N TO HELEN STREET N")</f>
        <v>LEMON STREET N TO HELEN STREET N</v>
      </c>
      <c r="G3240" s="3" t="str">
        <f>CLEAN("DESIGN - FULL PS&amp;E/RECST")</f>
        <v>DESIGN - FULL PS&amp;E/RECST</v>
      </c>
      <c r="H3240" s="2" t="str">
        <f>CLEAN("LOC STR")</f>
        <v>LOC STR</v>
      </c>
      <c r="I3240" s="2" t="str">
        <f>CLEAN("206")</f>
        <v>206</v>
      </c>
    </row>
    <row r="3241" spans="1:9" x14ac:dyDescent="0.35">
      <c r="A3241" s="2" t="str">
        <f>CLEAN("VERNON")</f>
        <v>VERNON</v>
      </c>
      <c r="B3241" s="2" t="str">
        <f>CLEAN("VILLAGE OF ONTARIO")</f>
        <v>VILLAGE OF ONTARIO</v>
      </c>
      <c r="C3241" s="2" t="s">
        <v>354</v>
      </c>
      <c r="D3241" s="2" t="str">
        <f>CLEAN("5110-06-70")</f>
        <v>5110-06-70</v>
      </c>
      <c r="E3241" s="3" t="str">
        <f>CLEAN("READSTOWN - ONTARIO")</f>
        <v>READSTOWN - ONTARIO</v>
      </c>
      <c r="F3241" s="3" t="str">
        <f>CLEAN("STH 82 TO STH 33/ B-62-47 -187")</f>
        <v>STH 82 TO STH 33/ B-62-47 -187</v>
      </c>
      <c r="G3241" s="3" t="str">
        <f>CLEAN("CONST/ PVRPLA")</f>
        <v>CONST/ PVRPLA</v>
      </c>
      <c r="H3241" s="2" t="str">
        <f>CLEAN("STH 131")</f>
        <v>STH 131</v>
      </c>
      <c r="I3241" s="2" t="str">
        <f>CLEAN("303")</f>
        <v>303</v>
      </c>
    </row>
    <row r="3242" spans="1:9" x14ac:dyDescent="0.35">
      <c r="A3242" s="2" t="str">
        <f>CLEAN("DANE")</f>
        <v>DANE</v>
      </c>
      <c r="B3242" s="2" t="str">
        <f>CLEAN("VILLAGE OF OREGON")</f>
        <v>VILLAGE OF OREGON</v>
      </c>
      <c r="C3242" s="2" t="s">
        <v>14</v>
      </c>
      <c r="D3242" s="2" t="str">
        <f>CLEAN("1009-22-11")</f>
        <v>1009-22-11</v>
      </c>
      <c r="E3242" s="3" t="str">
        <f>CLEAN("Oregon Bike Ped Study")</f>
        <v>Oregon Bike Ped Study</v>
      </c>
      <c r="F3242" s="3" t="str">
        <f>CLEAN("VILLAGE OF OREGON")</f>
        <v>VILLAGE OF OREGON</v>
      </c>
      <c r="G3242" s="3" t="str">
        <f>CLEAN("BIKE PED TRANSP STUDY")</f>
        <v>BIKE PED TRANSP STUDY</v>
      </c>
      <c r="H3242" s="2" t="str">
        <f>CLEAN("NON HWY")</f>
        <v>NON HWY</v>
      </c>
      <c r="I3242" s="2" t="str">
        <f>CLEAN("290")</f>
        <v>290</v>
      </c>
    </row>
    <row r="3243" spans="1:9" x14ac:dyDescent="0.35">
      <c r="A3243" s="2" t="str">
        <f>CLEAN("DANE")</f>
        <v>DANE</v>
      </c>
      <c r="B3243" s="2" t="str">
        <f>CLEAN("VILLAGE OF OREGON")</f>
        <v>VILLAGE OF OREGON</v>
      </c>
      <c r="C3243" s="2" t="s">
        <v>2137</v>
      </c>
      <c r="D3243" s="2" t="str">
        <f>CLEAN("5627-00-00")</f>
        <v>5627-00-00</v>
      </c>
      <c r="E3243" s="3" t="str">
        <f>CLEAN("V OF OREGON  S BURR OAK AVENUE")</f>
        <v>V OF OREGON  S BURR OAK AVENUE</v>
      </c>
      <c r="F3243" s="3" t="str">
        <f>CLEAN("CHERRYWOOOD DR TO PINE WAY")</f>
        <v>CHERRYWOOOD DR TO PINE WAY</v>
      </c>
      <c r="G3243" s="3" t="str">
        <f>CLEAN("DESIGN/PLAN CHECK REVIEW/PVRPLA")</f>
        <v>DESIGN/PLAN CHECK REVIEW/PVRPLA</v>
      </c>
      <c r="H3243" s="2" t="str">
        <f>CLEAN("LOC STR")</f>
        <v>LOC STR</v>
      </c>
      <c r="I3243" s="2" t="str">
        <f>CLEAN("206")</f>
        <v>206</v>
      </c>
    </row>
    <row r="3244" spans="1:9" x14ac:dyDescent="0.35">
      <c r="A3244" s="2" t="str">
        <f>CLEAN("DANE")</f>
        <v>DANE</v>
      </c>
      <c r="B3244" s="2" t="str">
        <f>CLEAN("VILLAGE OF OREGON")</f>
        <v>VILLAGE OF OREGON</v>
      </c>
      <c r="C3244" s="2" t="s">
        <v>2206</v>
      </c>
      <c r="D3244" s="2" t="str">
        <f>CLEAN("5627-00-01")</f>
        <v>5627-00-01</v>
      </c>
      <c r="E3244" s="3" t="str">
        <f>CLEAN("VILLAGE OF OREGON  E LINCOLN STREET")</f>
        <v>VILLAGE OF OREGON  E LINCOLN STREET</v>
      </c>
      <c r="F3244" s="3" t="str">
        <f>CLEAN("N MAIN STREET TO N PERRY PARKWAY")</f>
        <v>N MAIN STREET TO N PERRY PARKWAY</v>
      </c>
      <c r="G3244" s="3" t="str">
        <f>CLEAN("DESIGN/PLAN CHECK REVIEW/RECST")</f>
        <v>DESIGN/PLAN CHECK REVIEW/RECST</v>
      </c>
      <c r="H3244" s="2" t="str">
        <f>CLEAN("LOC STR")</f>
        <v>LOC STR</v>
      </c>
      <c r="I3244" s="2" t="str">
        <f>CLEAN("206")</f>
        <v>206</v>
      </c>
    </row>
    <row r="3245" spans="1:9" x14ac:dyDescent="0.35">
      <c r="A3245" s="2" t="str">
        <f>CLEAN("DANE")</f>
        <v>DANE</v>
      </c>
      <c r="B3245" s="2" t="str">
        <f>CLEAN("VILLAGE OF OREGON")</f>
        <v>VILLAGE OF OREGON</v>
      </c>
      <c r="C3245" s="2" t="s">
        <v>253</v>
      </c>
      <c r="D3245" s="2" t="str">
        <f>CLEAN("5627-00-71")</f>
        <v>5627-00-71</v>
      </c>
      <c r="E3245" s="3" t="str">
        <f>CLEAN("VILLAGE OF OREGON  E LINCOLN STREET")</f>
        <v>VILLAGE OF OREGON  E LINCOLN STREET</v>
      </c>
      <c r="F3245" s="3" t="str">
        <f>CLEAN("N MAIN STREET TO N PERRY PARKWAY")</f>
        <v>N MAIN STREET TO N PERRY PARKWAY</v>
      </c>
      <c r="G3245" s="3" t="str">
        <f>CLEAN("CONST OPS/RECONSTRUCTION")</f>
        <v>CONST OPS/RECONSTRUCTION</v>
      </c>
      <c r="H3245" s="2" t="str">
        <f>CLEAN("LOC STR")</f>
        <v>LOC STR</v>
      </c>
      <c r="I3245" s="2" t="str">
        <f>CLEAN("206")</f>
        <v>206</v>
      </c>
    </row>
    <row r="3246" spans="1:9" x14ac:dyDescent="0.35">
      <c r="A3246" s="2" t="str">
        <f>CLEAN("DANE")</f>
        <v>DANE</v>
      </c>
      <c r="B3246" s="2" t="str">
        <f>CLEAN("VILLAGE OF OREGON")</f>
        <v>VILLAGE OF OREGON</v>
      </c>
      <c r="C3246" s="2" t="s">
        <v>3420</v>
      </c>
      <c r="D3246" s="2" t="str">
        <f>CLEAN("5627-00-72")</f>
        <v>5627-00-72</v>
      </c>
      <c r="E3246" s="3" t="str">
        <f>CLEAN("VILLAGE OF OREGON  E LINCOLN STREET")</f>
        <v>VILLAGE OF OREGON  E LINCOLN STREET</v>
      </c>
      <c r="F3246" s="3" t="str">
        <f>CLEAN("N MAIN STREET TO N PERRY PARKWAY")</f>
        <v>N MAIN STREET TO N PERRY PARKWAY</v>
      </c>
      <c r="G3246" s="3" t="str">
        <f>CLEAN("UTL OPS/SANITARY SEWER - WATER MAIN")</f>
        <v>UTL OPS/SANITARY SEWER - WATER MAIN</v>
      </c>
      <c r="H3246" s="2" t="str">
        <f>CLEAN("LOC STR")</f>
        <v>LOC STR</v>
      </c>
      <c r="I3246" s="2" t="str">
        <f>CLEAN("206")</f>
        <v>206</v>
      </c>
    </row>
    <row r="3247" spans="1:9" x14ac:dyDescent="0.35">
      <c r="A3247" s="2" t="str">
        <f>CLEAN("ROCK")</f>
        <v>ROCK</v>
      </c>
      <c r="B3247" s="2" t="str">
        <f>CLEAN("VILLAGE OF ORFORDVILLE")</f>
        <v>VILLAGE OF ORFORDVILLE</v>
      </c>
      <c r="C3247" s="2" t="s">
        <v>35</v>
      </c>
      <c r="D3247" s="2" t="str">
        <f>CLEAN("5571-00-72")</f>
        <v>5571-00-72</v>
      </c>
      <c r="E3247" s="3" t="str">
        <f>CLEAN("BELOIT - EVANSVILLE")</f>
        <v>BELOIT - EVANSVILLE</v>
      </c>
      <c r="F3247" s="3" t="str">
        <f>CLEAN("BURTON STREET TO STH 11")</f>
        <v>BURTON STREET TO STH 11</v>
      </c>
      <c r="G3247" s="3" t="str">
        <f>CLEAN("CONS/PVRPLA")</f>
        <v>CONS/PVRPLA</v>
      </c>
      <c r="H3247" s="2" t="str">
        <f>CLEAN("STH 213")</f>
        <v>STH 213</v>
      </c>
      <c r="I3247" s="2" t="str">
        <f>CLEAN("303")</f>
        <v>303</v>
      </c>
    </row>
    <row r="3248" spans="1:9" x14ac:dyDescent="0.35">
      <c r="A3248" s="2" t="str">
        <f>CLEAN("KENOSHA")</f>
        <v>KENOSHA</v>
      </c>
      <c r="B3248" s="2" t="str">
        <f>CLEAN("VILLAGE OF PADDOCK LAKE")</f>
        <v>VILLAGE OF PADDOCK LAKE</v>
      </c>
      <c r="C3248" s="2" t="s">
        <v>47</v>
      </c>
      <c r="D3248" s="2" t="str">
        <f>CLEAN("1310-04-70")</f>
        <v>1310-04-70</v>
      </c>
      <c r="E3248" s="3" t="str">
        <f>CLEAN("75TH ST  VILLAGE OF PADDOCK LAKE")</f>
        <v>75TH ST  VILLAGE OF PADDOCK LAKE</v>
      </c>
      <c r="F3248" s="3" t="str">
        <f>CLEAN("256TH AVE TO 236TH AVE")</f>
        <v>256TH AVE TO 236TH AVE</v>
      </c>
      <c r="G3248" s="3" t="str">
        <f>CLEAN("CONST /RECONSTRUCT")</f>
        <v>CONST /RECONSTRUCT</v>
      </c>
      <c r="H3248" s="2" t="str">
        <f>CLEAN("STH 050")</f>
        <v>STH 050</v>
      </c>
      <c r="I3248" s="2" t="str">
        <f>CLEAN("303")</f>
        <v>303</v>
      </c>
    </row>
    <row r="3249" spans="1:9" x14ac:dyDescent="0.35">
      <c r="A3249" s="2" t="str">
        <f>CLEAN("JEFFERSON")</f>
        <v>JEFFERSON</v>
      </c>
      <c r="B3249" s="2" t="str">
        <f>CLEAN("VILLAGE OF PALMYRA")</f>
        <v>VILLAGE OF PALMYRA</v>
      </c>
      <c r="C3249" s="2" t="s">
        <v>332</v>
      </c>
      <c r="D3249" s="2" t="str">
        <f>CLEAN("3576-01-75")</f>
        <v>3576-01-75</v>
      </c>
      <c r="E3249" s="3" t="str">
        <f>CLEAN("FT ATKINSON - PALMYRA")</f>
        <v>FT ATKINSON - PALMYRA</v>
      </c>
      <c r="F3249" s="3" t="str">
        <f>CLEAN("FIRST STREET TO STH 59")</f>
        <v>FIRST STREET TO STH 59</v>
      </c>
      <c r="G3249" s="3" t="str">
        <f>CLEAN("CONST/ MILL AND OVERLAY")</f>
        <v>CONST/ MILL AND OVERLAY</v>
      </c>
      <c r="H3249" s="2" t="str">
        <f>CLEAN("STH 106")</f>
        <v>STH 106</v>
      </c>
      <c r="I3249" s="2" t="str">
        <f>CLEAN("303")</f>
        <v>303</v>
      </c>
    </row>
    <row r="3250" spans="1:9" x14ac:dyDescent="0.35">
      <c r="A3250" s="2" t="str">
        <f>CLEAN("PORTAGE")</f>
        <v>PORTAGE</v>
      </c>
      <c r="B3250" s="2" t="str">
        <f>CLEAN("VILLAGE OF PARK RIDGE")</f>
        <v>VILLAGE OF PARK RIDGE</v>
      </c>
      <c r="C3250" s="2" t="s">
        <v>1941</v>
      </c>
      <c r="D3250" s="2" t="str">
        <f>CLEAN("6998-03-01")</f>
        <v>6998-03-01</v>
      </c>
      <c r="E3250" s="3" t="str">
        <f>CLEAN("V PARK RIDGE  RIDGEWOOD DRIVE")</f>
        <v>V PARK RIDGE  RIDGEWOOD DRIVE</v>
      </c>
      <c r="F3250" s="3" t="str">
        <f>CLEAN("SUNSET AVENUE TO HILLCREST DRIVE")</f>
        <v>SUNSET AVENUE TO HILLCREST DRIVE</v>
      </c>
      <c r="G3250" s="3" t="str">
        <f>CLEAN("DESIGN/FULL PSE/RECONSTRUCT")</f>
        <v>DESIGN/FULL PSE/RECONSTRUCT</v>
      </c>
      <c r="H3250" s="2" t="str">
        <f>CLEAN("LOC STR")</f>
        <v>LOC STR</v>
      </c>
      <c r="I3250" s="2" t="str">
        <f>CLEAN("206")</f>
        <v>206</v>
      </c>
    </row>
    <row r="3251" spans="1:9" x14ac:dyDescent="0.35">
      <c r="A3251" s="2" t="str">
        <f>CLEAN("GRANT")</f>
        <v>GRANT</v>
      </c>
      <c r="B3251" s="2" t="str">
        <f>CLEAN("VILLAGE OF PATCH GROVE")</f>
        <v>VILLAGE OF PATCH GROVE</v>
      </c>
      <c r="C3251" s="2" t="s">
        <v>614</v>
      </c>
      <c r="D3251" s="2" t="str">
        <f>CLEAN("5580-04-70")</f>
        <v>5580-04-70</v>
      </c>
      <c r="E3251" s="3" t="str">
        <f>CLEAN("BLOOMINGTON - PRAIRIE DU CHIEN")</f>
        <v>BLOOMINGTON - PRAIRIE DU CHIEN</v>
      </c>
      <c r="F3251" s="3" t="str">
        <f>CLEAN("W JUNCTION STH 133 TO USH 18")</f>
        <v>W JUNCTION STH 133 TO USH 18</v>
      </c>
      <c r="G3251" s="3" t="str">
        <f>CLEAN("CONST/MILL &amp; OVERLAY/RSRF")</f>
        <v>CONST/MILL &amp; OVERLAY/RSRF</v>
      </c>
      <c r="H3251" s="2" t="str">
        <f>CLEAN("STH 035")</f>
        <v>STH 035</v>
      </c>
      <c r="I3251" s="2" t="str">
        <f>CLEAN("303")</f>
        <v>303</v>
      </c>
    </row>
    <row r="3252" spans="1:9" x14ac:dyDescent="0.35">
      <c r="A3252" s="2" t="str">
        <f>CLEAN("WAUKESHA")</f>
        <v>WAUKESHA</v>
      </c>
      <c r="B3252" s="2" t="str">
        <f>CLEAN("VILLAGE OF PEWAUKEE")</f>
        <v>VILLAGE OF PEWAUKEE</v>
      </c>
      <c r="C3252" s="2" t="s">
        <v>2494</v>
      </c>
      <c r="D3252" s="2" t="str">
        <f>CLEAN("1009-86-18")</f>
        <v>1009-86-18</v>
      </c>
      <c r="E3252" s="3" t="str">
        <f>CLEAN("FRA STEP GRANT ROADWAY IMPROVEMENTS")</f>
        <v>FRA STEP GRANT ROADWAY IMPROVEMENTS</v>
      </c>
      <c r="F3252" s="3" t="str">
        <f>CLEAN("VAR LOCATIONS-WAUKESHA CO-CP RLWY")</f>
        <v>VAR LOCATIONS-WAUKESHA CO-CP RLWY</v>
      </c>
      <c r="G3252" s="3" t="str">
        <f>CLEAN("EX- CONST/ROADWAY IMPROVEMENTS")</f>
        <v>EX- CONST/ROADWAY IMPROVEMENTS</v>
      </c>
      <c r="H3252" s="2" t="str">
        <f>CLEAN("VAR HWY")</f>
        <v>VAR HWY</v>
      </c>
      <c r="I3252" s="2" t="str">
        <f>CLEAN("207")</f>
        <v>207</v>
      </c>
    </row>
    <row r="3253" spans="1:9" x14ac:dyDescent="0.35">
      <c r="A3253" s="2" t="str">
        <f>CLEAN("WAUKESHA")</f>
        <v>WAUKESHA</v>
      </c>
      <c r="B3253" s="2" t="str">
        <f>CLEAN("VILLAGE OF PEWAUKEE")</f>
        <v>VILLAGE OF PEWAUKEE</v>
      </c>
      <c r="C3253" s="2" t="s">
        <v>992</v>
      </c>
      <c r="D3253" s="2" t="str">
        <f>CLEAN("2370-00-75")</f>
        <v>2370-00-75</v>
      </c>
      <c r="E3253" s="3" t="str">
        <f>CLEAN("WAUKESHA - SLINGER")</f>
        <v>WAUKESHA - SLINGER</v>
      </c>
      <c r="F3253" s="3" t="str">
        <f>CLEAN("SWAN ROAD TO SILVER SPRING DR")</f>
        <v>SWAN ROAD TO SILVER SPRING DR</v>
      </c>
      <c r="G3253" s="3" t="str">
        <f>CLEAN("CONST/RESURFACE")</f>
        <v>CONST/RESURFACE</v>
      </c>
      <c r="H3253" s="2" t="str">
        <f>CLEAN("STH 164")</f>
        <v>STH 164</v>
      </c>
      <c r="I3253" s="2" t="str">
        <f>CLEAN("303")</f>
        <v>303</v>
      </c>
    </row>
    <row r="3254" spans="1:9" x14ac:dyDescent="0.35">
      <c r="A3254" s="2" t="str">
        <f>CLEAN("SAUK")</f>
        <v>SAUK</v>
      </c>
      <c r="B3254" s="2" t="str">
        <f>CLEAN("VILLAGE OF PLAIN")</f>
        <v>VILLAGE OF PLAIN</v>
      </c>
      <c r="C3254" s="2" t="s">
        <v>341</v>
      </c>
      <c r="D3254" s="2" t="str">
        <f>CLEAN("5080-02-74")</f>
        <v>5080-02-74</v>
      </c>
      <c r="E3254" s="3" t="str">
        <f>CLEAN("SPRING GREEN - REEDSBURG")</f>
        <v>SPRING GREEN - REEDSBURG</v>
      </c>
      <c r="F3254" s="3" t="str">
        <f>CLEAN("USH 14 TO CTH GG")</f>
        <v>USH 14 TO CTH GG</v>
      </c>
      <c r="G3254" s="3" t="str">
        <f>CLEAN("CONST/ MILL AND OVERLAY")</f>
        <v>CONST/ MILL AND OVERLAY</v>
      </c>
      <c r="H3254" s="2" t="str">
        <f>CLEAN("STH 023")</f>
        <v>STH 023</v>
      </c>
      <c r="I3254" s="2" t="str">
        <f>CLEAN("303")</f>
        <v>303</v>
      </c>
    </row>
    <row r="3255" spans="1:9" x14ac:dyDescent="0.35">
      <c r="A3255" s="2" t="str">
        <f t="shared" ref="A3255:A3269" si="490">CLEAN("KENOSHA")</f>
        <v>KENOSHA</v>
      </c>
      <c r="B3255" s="2" t="str">
        <f t="shared" ref="B3255:B3269" si="491">CLEAN("VILLAGE OF PLEASANT PRAIRIE")</f>
        <v>VILLAGE OF PLEASANT PRAIRIE</v>
      </c>
      <c r="C3255" s="2" t="s">
        <v>1885</v>
      </c>
      <c r="D3255" s="2" t="str">
        <f>CLEAN("3738-09-01")</f>
        <v>3738-09-01</v>
      </c>
      <c r="E3255" s="3" t="str">
        <f>CLEAN("V PLEASANT PRAIRIE  104TH STREET")</f>
        <v>V PLEASANT PRAIRIE  104TH STREET</v>
      </c>
      <c r="F3255" s="3" t="str">
        <f>CLEAN("STH 31 TO CTH EZ")</f>
        <v>STH 31 TO CTH EZ</v>
      </c>
      <c r="G3255" s="3" t="str">
        <f>CLEAN("DESIGN/FULL PS&amp;E/RECST")</f>
        <v>DESIGN/FULL PS&amp;E/RECST</v>
      </c>
      <c r="H3255" s="2" t="str">
        <f>CLEAN("STH 165")</f>
        <v>STH 165</v>
      </c>
      <c r="I3255" s="2" t="str">
        <f>CLEAN("303")</f>
        <v>303</v>
      </c>
    </row>
    <row r="3256" spans="1:9" x14ac:dyDescent="0.35">
      <c r="A3256" s="2" t="str">
        <f t="shared" si="490"/>
        <v>KENOSHA</v>
      </c>
      <c r="B3256" s="2" t="str">
        <f t="shared" si="491"/>
        <v>VILLAGE OF PLEASANT PRAIRIE</v>
      </c>
      <c r="C3256" s="2" t="s">
        <v>44</v>
      </c>
      <c r="D3256" s="2" t="str">
        <f>CLEAN("1310-10-70")</f>
        <v>1310-10-70</v>
      </c>
      <c r="E3256" s="3" t="str">
        <f>CLEAN("75TH ST  C KENOSHA/V PLEASANT PRAIR")</f>
        <v>75TH ST  C KENOSHA/V PLEASANT PRAIR</v>
      </c>
      <c r="F3256" s="3" t="str">
        <f>CLEAN("IH 94 TO 74TH AVE")</f>
        <v>IH 94 TO 74TH AVE</v>
      </c>
      <c r="G3256" s="3" t="str">
        <f>CLEAN("CONST / RECONSTRUCT WITH EXPANSION")</f>
        <v>CONST / RECONSTRUCT WITH EXPANSION</v>
      </c>
      <c r="H3256" s="2" t="str">
        <f>CLEAN("STH 050")</f>
        <v>STH 050</v>
      </c>
      <c r="I3256" s="2" t="str">
        <f>CLEAN("302")</f>
        <v>302</v>
      </c>
    </row>
    <row r="3257" spans="1:9" x14ac:dyDescent="0.35">
      <c r="A3257" s="2" t="str">
        <f t="shared" si="490"/>
        <v>KENOSHA</v>
      </c>
      <c r="B3257" s="2" t="str">
        <f t="shared" si="491"/>
        <v>VILLAGE OF PLEASANT PRAIRIE</v>
      </c>
      <c r="C3257" s="2" t="s">
        <v>43</v>
      </c>
      <c r="D3257" s="2" t="str">
        <f>CLEAN("1310-10-71")</f>
        <v>1310-10-71</v>
      </c>
      <c r="E3257" s="3" t="str">
        <f>CLEAN("75TH ST  C KENOSHA/V PLEASANT PRAIR")</f>
        <v>75TH ST  C KENOSHA/V PLEASANT PRAIR</v>
      </c>
      <c r="F3257" s="3" t="str">
        <f>CLEAN("74TH AVE TO 43RD AVE")</f>
        <v>74TH AVE TO 43RD AVE</v>
      </c>
      <c r="G3257" s="3" t="str">
        <f>CLEAN("CONST / RECONSTRUCT WITH EXPANSION")</f>
        <v>CONST / RECONSTRUCT WITH EXPANSION</v>
      </c>
      <c r="H3257" s="2" t="str">
        <f>CLEAN("STH 050")</f>
        <v>STH 050</v>
      </c>
      <c r="I3257" s="2" t="str">
        <f>CLEAN("302")</f>
        <v>302</v>
      </c>
    </row>
    <row r="3258" spans="1:9" x14ac:dyDescent="0.35">
      <c r="A3258" s="2" t="str">
        <f t="shared" si="490"/>
        <v>KENOSHA</v>
      </c>
      <c r="B3258" s="2" t="str">
        <f t="shared" si="491"/>
        <v>VILLAGE OF PLEASANT PRAIRIE</v>
      </c>
      <c r="C3258" s="2" t="s">
        <v>41</v>
      </c>
      <c r="D3258" s="2" t="str">
        <f>CLEAN("1310-10-74")</f>
        <v>1310-10-74</v>
      </c>
      <c r="E3258" s="3" t="str">
        <f>CLEAN("75TH ST  C KENOSHA/V PLEASANT PRAIR")</f>
        <v>75TH ST  C KENOSHA/V PLEASANT PRAIR</v>
      </c>
      <c r="F3258" s="3" t="str">
        <f>CLEAN("FRONTAGE ROADS  109TH ST N &amp; S")</f>
        <v>FRONTAGE ROADS  109TH ST N &amp; S</v>
      </c>
      <c r="G3258" s="3" t="str">
        <f>CLEAN("CONST / NEW ROADWAY")</f>
        <v>CONST / NEW ROADWAY</v>
      </c>
      <c r="H3258" s="2" t="str">
        <f>CLEAN("STH 050")</f>
        <v>STH 050</v>
      </c>
      <c r="I3258" s="2" t="str">
        <f>CLEAN("303")</f>
        <v>303</v>
      </c>
    </row>
    <row r="3259" spans="1:9" x14ac:dyDescent="0.35">
      <c r="A3259" s="2" t="str">
        <f t="shared" si="490"/>
        <v>KENOSHA</v>
      </c>
      <c r="B3259" s="2" t="str">
        <f t="shared" si="491"/>
        <v>VILLAGE OF PLEASANT PRAIRIE</v>
      </c>
      <c r="C3259" s="2" t="s">
        <v>746</v>
      </c>
      <c r="D3259" s="2" t="str">
        <f>CLEAN("3240-11-70")</f>
        <v>3240-11-70</v>
      </c>
      <c r="E3259" s="3" t="str">
        <f>CLEAN("SHERIDAN RD  VIL PLEASANT PRAIRIE")</f>
        <v>SHERIDAN RD  VIL PLEASANT PRAIRIE</v>
      </c>
      <c r="F3259" s="3" t="str">
        <f>CLEAN("STH 165 INTERSECTION")</f>
        <v>STH 165 INTERSECTION</v>
      </c>
      <c r="G3259" s="3" t="str">
        <f>CLEAN("CONST/RECONDITIONING")</f>
        <v>CONST/RECONDITIONING</v>
      </c>
      <c r="H3259" s="2" t="str">
        <f>CLEAN("STH 032")</f>
        <v>STH 032</v>
      </c>
      <c r="I3259" s="2" t="str">
        <f>CLEAN("303")</f>
        <v>303</v>
      </c>
    </row>
    <row r="3260" spans="1:9" x14ac:dyDescent="0.35">
      <c r="A3260" s="2" t="str">
        <f t="shared" si="490"/>
        <v>KENOSHA</v>
      </c>
      <c r="B3260" s="2" t="str">
        <f t="shared" si="491"/>
        <v>VILLAGE OF PLEASANT PRAIRIE</v>
      </c>
      <c r="C3260" s="2" t="s">
        <v>3361</v>
      </c>
      <c r="D3260" s="2" t="str">
        <f>CLEAN("3700-20-73")</f>
        <v>3700-20-73</v>
      </c>
      <c r="E3260" s="3" t="str">
        <f>CLEAN("REPLACE EXISTING SIGNALS  KEN/OZ/RA")</f>
        <v>REPLACE EXISTING SIGNALS  KEN/OZ/RA</v>
      </c>
      <c r="F3260" s="3" t="str">
        <f>CLEAN("VARIOUS LOCATIONS")</f>
        <v>VARIOUS LOCATIONS</v>
      </c>
      <c r="G3260" s="3" t="str">
        <f>CLEAN("TRAFFIC/KENOSHA/OZAUKEE/RACINE CO")</f>
        <v>TRAFFIC/KENOSHA/OZAUKEE/RACINE CO</v>
      </c>
      <c r="H3260" s="2" t="str">
        <f>CLEAN("VAR HWY")</f>
        <v>VAR HWY</v>
      </c>
      <c r="I3260" s="2" t="str">
        <f>CLEAN("305")</f>
        <v>305</v>
      </c>
    </row>
    <row r="3261" spans="1:9" x14ac:dyDescent="0.35">
      <c r="A3261" s="2" t="str">
        <f t="shared" si="490"/>
        <v>KENOSHA</v>
      </c>
      <c r="B3261" s="2" t="str">
        <f t="shared" si="491"/>
        <v>VILLAGE OF PLEASANT PRAIRIE</v>
      </c>
      <c r="C3261" s="2" t="s">
        <v>20</v>
      </c>
      <c r="D3261" s="2" t="str">
        <f>CLEAN("3738-02-74")</f>
        <v>3738-02-74</v>
      </c>
      <c r="E3261" s="3" t="str">
        <f>CLEAN("104TH ST")</f>
        <v>104TH ST</v>
      </c>
      <c r="F3261" s="3" t="str">
        <f>CLEAN("CTH H INTERSECTION")</f>
        <v>CTH H INTERSECTION</v>
      </c>
      <c r="G3261" s="3" t="str">
        <f>CLEAN("CCO TO ID 3738-02-73")</f>
        <v>CCO TO ID 3738-02-73</v>
      </c>
      <c r="H3261" s="2" t="str">
        <f>CLEAN("STH 165")</f>
        <v>STH 165</v>
      </c>
      <c r="I3261" s="2" t="str">
        <f>CLEAN("303")</f>
        <v>303</v>
      </c>
    </row>
    <row r="3262" spans="1:9" x14ac:dyDescent="0.35">
      <c r="A3262" s="2" t="str">
        <f t="shared" si="490"/>
        <v>KENOSHA</v>
      </c>
      <c r="B3262" s="2" t="str">
        <f t="shared" si="491"/>
        <v>VILLAGE OF PLEASANT PRAIRIE</v>
      </c>
      <c r="C3262" s="2" t="s">
        <v>2713</v>
      </c>
      <c r="D3262" s="2" t="str">
        <f>CLEAN("3830-01-00")</f>
        <v>3830-01-00</v>
      </c>
      <c r="E3262" s="3" t="str">
        <f>CLEAN("V PLEASANT PRAIRIE  93RD ST")</f>
        <v>V PLEASANT PRAIRIE  93RD ST</v>
      </c>
      <c r="F3262" s="3" t="str">
        <f>CLEAN("63RD AVE TO COOPER RD")</f>
        <v>63RD AVE TO COOPER RD</v>
      </c>
      <c r="G3262" s="3" t="str">
        <f>CLEAN("PE/FULL PS&amp;E ROW/RECONSTRUCT")</f>
        <v>PE/FULL PS&amp;E ROW/RECONSTRUCT</v>
      </c>
      <c r="H3262" s="2" t="str">
        <f>CLEAN("LOC STR")</f>
        <v>LOC STR</v>
      </c>
      <c r="I3262" s="2" t="str">
        <f>CLEAN("206")</f>
        <v>206</v>
      </c>
    </row>
    <row r="3263" spans="1:9" x14ac:dyDescent="0.35">
      <c r="A3263" s="2" t="str">
        <f t="shared" si="490"/>
        <v>KENOSHA</v>
      </c>
      <c r="B3263" s="2" t="str">
        <f t="shared" si="491"/>
        <v>VILLAGE OF PLEASANT PRAIRIE</v>
      </c>
      <c r="C3263" s="2" t="s">
        <v>758</v>
      </c>
      <c r="D3263" s="2" t="str">
        <f>CLEAN("3830-01-70")</f>
        <v>3830-01-70</v>
      </c>
      <c r="E3263" s="3" t="str">
        <f>CLEAN("V PLEASANT PRAIRIE  93RD ST")</f>
        <v>V PLEASANT PRAIRIE  93RD ST</v>
      </c>
      <c r="F3263" s="3" t="str">
        <f>CLEAN("63RD AVE TO COOPER RD")</f>
        <v>63RD AVE TO COOPER RD</v>
      </c>
      <c r="G3263" s="3" t="str">
        <f>CLEAN("CONST/RECONSTRUCT")</f>
        <v>CONST/RECONSTRUCT</v>
      </c>
      <c r="H3263" s="2" t="str">
        <f>CLEAN("LOC STR")</f>
        <v>LOC STR</v>
      </c>
      <c r="I3263" s="2" t="str">
        <f>CLEAN("206")</f>
        <v>206</v>
      </c>
    </row>
    <row r="3264" spans="1:9" x14ac:dyDescent="0.35">
      <c r="A3264" s="2" t="str">
        <f t="shared" si="490"/>
        <v>KENOSHA</v>
      </c>
      <c r="B3264" s="2" t="str">
        <f t="shared" si="491"/>
        <v>VILLAGE OF PLEASANT PRAIRIE</v>
      </c>
      <c r="C3264" s="2" t="s">
        <v>813</v>
      </c>
      <c r="D3264" s="2" t="str">
        <f>CLEAN("3830-01-71")</f>
        <v>3830-01-71</v>
      </c>
      <c r="E3264" s="3" t="str">
        <f>CLEAN("V PLEASANT PRAIRIE  93RD ST")</f>
        <v>V PLEASANT PRAIRIE  93RD ST</v>
      </c>
      <c r="F3264" s="3" t="str">
        <f>CLEAN("63RD AVE TO COOPER RD")</f>
        <v>63RD AVE TO COOPER RD</v>
      </c>
      <c r="G3264" s="3" t="str">
        <f>CLEAN("CONST/RECONSTRUCT/SANITARY SEWER")</f>
        <v>CONST/RECONSTRUCT/SANITARY SEWER</v>
      </c>
      <c r="H3264" s="2" t="str">
        <f>CLEAN("LOC STR")</f>
        <v>LOC STR</v>
      </c>
      <c r="I3264" s="2" t="str">
        <f>CLEAN("206")</f>
        <v>206</v>
      </c>
    </row>
    <row r="3265" spans="1:9" x14ac:dyDescent="0.35">
      <c r="A3265" s="2" t="str">
        <f t="shared" si="490"/>
        <v>KENOSHA</v>
      </c>
      <c r="B3265" s="2" t="str">
        <f t="shared" si="491"/>
        <v>VILLAGE OF PLEASANT PRAIRIE</v>
      </c>
      <c r="C3265" s="2" t="s">
        <v>3307</v>
      </c>
      <c r="D3265" s="2" t="str">
        <f>CLEAN("3830-03-50")</f>
        <v>3830-03-50</v>
      </c>
      <c r="E3265" s="3" t="str">
        <f>CLEAN("UP RAIL SPUR/BALCAN")</f>
        <v>UP RAIL SPUR/BALCAN</v>
      </c>
      <c r="F3265" s="3" t="str">
        <f>CLEAN("72ND AND 108TH ST")</f>
        <v>72ND AND 108TH ST</v>
      </c>
      <c r="G3265" s="3" t="str">
        <f>CLEAN("RR/SPUR CONSTRUCTION")</f>
        <v>RR/SPUR CONSTRUCTION</v>
      </c>
      <c r="H3265" s="2" t="str">
        <f>CLEAN("NON HWY")</f>
        <v>NON HWY</v>
      </c>
      <c r="I3265" s="2" t="str">
        <f>CLEAN("209")</f>
        <v>209</v>
      </c>
    </row>
    <row r="3266" spans="1:9" x14ac:dyDescent="0.35">
      <c r="A3266" s="2" t="str">
        <f t="shared" si="490"/>
        <v>KENOSHA</v>
      </c>
      <c r="B3266" s="2" t="str">
        <f t="shared" si="491"/>
        <v>VILLAGE OF PLEASANT PRAIRIE</v>
      </c>
      <c r="C3266" s="2" t="s">
        <v>2866</v>
      </c>
      <c r="D3266" s="2" t="str">
        <f>CLEAN("3830-05-00")</f>
        <v>3830-05-00</v>
      </c>
      <c r="E3266" s="3" t="str">
        <f>CLEAN("95TH STREET SHARED USE PATH")</f>
        <v>95TH STREET SHARED USE PATH</v>
      </c>
      <c r="F3266" s="3" t="str">
        <f>CLEAN("TERWALL TERRACE TO OLD GREEN BAY RD")</f>
        <v>TERWALL TERRACE TO OLD GREEN BAY RD</v>
      </c>
      <c r="G3266" s="3" t="str">
        <f>CLEAN("PE/FULL PSE/MISC")</f>
        <v>PE/FULL PSE/MISC</v>
      </c>
      <c r="H3266" s="2" t="str">
        <f>CLEAN("NON HWY")</f>
        <v>NON HWY</v>
      </c>
      <c r="I3266" s="2" t="str">
        <f>CLEAN("290")</f>
        <v>290</v>
      </c>
    </row>
    <row r="3267" spans="1:9" x14ac:dyDescent="0.35">
      <c r="A3267" s="2" t="str">
        <f t="shared" si="490"/>
        <v>KENOSHA</v>
      </c>
      <c r="B3267" s="2" t="str">
        <f t="shared" si="491"/>
        <v>VILLAGE OF PLEASANT PRAIRIE</v>
      </c>
      <c r="C3267" s="2" t="s">
        <v>3324</v>
      </c>
      <c r="D3267" s="2" t="str">
        <f>CLEAN("3830-05-50")</f>
        <v>3830-05-50</v>
      </c>
      <c r="E3267" s="3" t="str">
        <f>CLEAN("95TH STREET SHARED USE PATH")</f>
        <v>95TH STREET SHARED USE PATH</v>
      </c>
      <c r="F3267" s="3" t="str">
        <f>CLEAN("TERWALL TERRACE TO OLD GREEN BAY RD")</f>
        <v>TERWALL TERRACE TO OLD GREEN BAY RD</v>
      </c>
      <c r="G3267" s="3" t="str">
        <f>CLEAN("RR/XING SURFACE/SOO LINE 388034T")</f>
        <v>RR/XING SURFACE/SOO LINE 388034T</v>
      </c>
      <c r="H3267" s="2" t="str">
        <f>CLEAN("NON HWY")</f>
        <v>NON HWY</v>
      </c>
      <c r="I3267" s="2" t="str">
        <f>CLEAN("290")</f>
        <v>290</v>
      </c>
    </row>
    <row r="3268" spans="1:9" x14ac:dyDescent="0.35">
      <c r="A3268" s="2" t="str">
        <f t="shared" si="490"/>
        <v>KENOSHA</v>
      </c>
      <c r="B3268" s="2" t="str">
        <f t="shared" si="491"/>
        <v>VILLAGE OF PLEASANT PRAIRIE</v>
      </c>
      <c r="C3268" s="2" t="s">
        <v>3319</v>
      </c>
      <c r="D3268" s="2" t="str">
        <f>CLEAN("3830-05-51")</f>
        <v>3830-05-51</v>
      </c>
      <c r="E3268" s="3" t="str">
        <f>CLEAN("95TH STREET SHARED USE PATH")</f>
        <v>95TH STREET SHARED USE PATH</v>
      </c>
      <c r="F3268" s="3" t="str">
        <f>CLEAN("TERWALL TERRACE TO OLD GREEN BAY RD")</f>
        <v>TERWALL TERRACE TO OLD GREEN BAY RD</v>
      </c>
      <c r="G3268" s="3" t="str">
        <f>CLEAN("RR/XING SIGNALS/SOO LINE 388034T")</f>
        <v>RR/XING SIGNALS/SOO LINE 388034T</v>
      </c>
      <c r="H3268" s="2" t="str">
        <f>CLEAN("NON HWY")</f>
        <v>NON HWY</v>
      </c>
      <c r="I3268" s="2" t="str">
        <f>CLEAN("290")</f>
        <v>290</v>
      </c>
    </row>
    <row r="3269" spans="1:9" x14ac:dyDescent="0.35">
      <c r="A3269" s="2" t="str">
        <f t="shared" si="490"/>
        <v>KENOSHA</v>
      </c>
      <c r="B3269" s="2" t="str">
        <f t="shared" si="491"/>
        <v>VILLAGE OF PLEASANT PRAIRIE</v>
      </c>
      <c r="C3269" s="2" t="s">
        <v>3313</v>
      </c>
      <c r="D3269" s="2" t="str">
        <f>CLEAN("3830-05-52")</f>
        <v>3830-05-52</v>
      </c>
      <c r="E3269" s="3" t="str">
        <f>CLEAN("95TH STREET SHARED USE PATH")</f>
        <v>95TH STREET SHARED USE PATH</v>
      </c>
      <c r="F3269" s="3" t="str">
        <f>CLEAN("TERWALL TERRACE TO OLD GREEN BAY RD")</f>
        <v>TERWALL TERRACE TO OLD GREEN BAY RD</v>
      </c>
      <c r="G3269" s="3" t="str">
        <f>CLEAN("RR/UP XING SURFACE DOT 176899L")</f>
        <v>RR/UP XING SURFACE DOT 176899L</v>
      </c>
      <c r="H3269" s="2" t="str">
        <f>CLEAN("LOC STR")</f>
        <v>LOC STR</v>
      </c>
      <c r="I3269" s="2" t="str">
        <f>CLEAN("290")</f>
        <v>290</v>
      </c>
    </row>
    <row r="3270" spans="1:9" x14ac:dyDescent="0.35">
      <c r="A3270" s="2" t="str">
        <f>CLEAN("WOOD")</f>
        <v>WOOD</v>
      </c>
      <c r="B3270" s="2" t="str">
        <f>CLEAN("VILLAGE OF PLOVER")</f>
        <v>VILLAGE OF PLOVER</v>
      </c>
      <c r="C3270" s="2" t="s">
        <v>704</v>
      </c>
      <c r="D3270" s="2" t="str">
        <f>CLEAN("1520-01-61")</f>
        <v>1520-01-61</v>
      </c>
      <c r="E3270" s="3" t="str">
        <f>CLEAN("WISCONSIN RAPIDS - PLOVER")</f>
        <v>WISCONSIN RAPIDS - PLOVER</v>
      </c>
      <c r="F3270" s="3" t="str">
        <f>CLEAN("BIRON/PLOVER XING APPROACH REPAIRS")</f>
        <v>BIRON/PLOVER XING APPROACH REPAIRS</v>
      </c>
      <c r="G3270" s="3" t="str">
        <f>CLEAN("CONST/PSRS20")</f>
        <v>CONST/PSRS20</v>
      </c>
      <c r="H3270" s="2" t="str">
        <f>CLEAN("STH 054")</f>
        <v>STH 054</v>
      </c>
      <c r="I3270" s="2" t="str">
        <f>CLEAN("303")</f>
        <v>303</v>
      </c>
    </row>
    <row r="3271" spans="1:9" x14ac:dyDescent="0.35">
      <c r="A3271" s="2" t="str">
        <f>CLEAN("PORTAGE")</f>
        <v>PORTAGE</v>
      </c>
      <c r="B3271" s="2" t="str">
        <f>CLEAN("VILLAGE OF PLOVER")</f>
        <v>VILLAGE OF PLOVER</v>
      </c>
      <c r="C3271" s="2" t="s">
        <v>1132</v>
      </c>
      <c r="D3271" s="2" t="str">
        <f>CLEAN("6414-01-74")</f>
        <v>6414-01-74</v>
      </c>
      <c r="E3271" s="3" t="str">
        <f>CLEAN("PLOVER - WAUPACA")</f>
        <v>PLOVER - WAUPACA</v>
      </c>
      <c r="F3271" s="3" t="str">
        <f>CLEAN("MAPLE DRIVE TO I-39")</f>
        <v>MAPLE DRIVE TO I-39</v>
      </c>
      <c r="G3271" s="3" t="str">
        <f>CLEAN("CONSTR/PVRPLA")</f>
        <v>CONSTR/PVRPLA</v>
      </c>
      <c r="H3271" s="2" t="str">
        <f>CLEAN("STH 054")</f>
        <v>STH 054</v>
      </c>
      <c r="I3271" s="2" t="str">
        <f>CLEAN("303")</f>
        <v>303</v>
      </c>
    </row>
    <row r="3272" spans="1:9" x14ac:dyDescent="0.35">
      <c r="A3272" s="2" t="str">
        <f>CLEAN("WOOD")</f>
        <v>WOOD</v>
      </c>
      <c r="B3272" s="2" t="str">
        <f>CLEAN("VILLAGE OF PORT EDWARDS")</f>
        <v>VILLAGE OF PORT EDWARDS</v>
      </c>
      <c r="C3272" s="2" t="s">
        <v>601</v>
      </c>
      <c r="D3272" s="2" t="str">
        <f>CLEAN("6950-04-82")</f>
        <v>6950-04-82</v>
      </c>
      <c r="E3272" s="3" t="str">
        <f>CLEAN("DEXTERVILLE - WISCONSIN RAPIDS")</f>
        <v>DEXTERVILLE - WISCONSIN RAPIDS</v>
      </c>
      <c r="F3272" s="3" t="str">
        <f>CLEAN("SWANSON ROAD TO SENECA ROAD")</f>
        <v>SWANSON ROAD TO SENECA ROAD</v>
      </c>
      <c r="G3272" s="3" t="str">
        <f>CLEAN("CONST/LOCAL UTILITIES/RESURFACE")</f>
        <v>CONST/LOCAL UTILITIES/RESURFACE</v>
      </c>
      <c r="H3272" s="2" t="str">
        <f>CLEAN("STH 054")</f>
        <v>STH 054</v>
      </c>
      <c r="I3272" s="2" t="str">
        <f>CLEAN("303")</f>
        <v>303</v>
      </c>
    </row>
    <row r="3273" spans="1:9" x14ac:dyDescent="0.35">
      <c r="A3273" s="2" t="str">
        <f>CLEAN("SAUK")</f>
        <v>SAUK</v>
      </c>
      <c r="B3273" s="2" t="str">
        <f>CLEAN("VILLAGE OF PRAIRIE DU SAC")</f>
        <v>VILLAGE OF PRAIRIE DU SAC</v>
      </c>
      <c r="C3273" s="2" t="s">
        <v>2126</v>
      </c>
      <c r="D3273" s="2" t="str">
        <f>CLEAN("5852-00-06")</f>
        <v>5852-00-06</v>
      </c>
      <c r="E3273" s="3" t="str">
        <f>CLEAN("V PRAIRIE DU SAC  NORTH STREET")</f>
        <v>V PRAIRIE DU SAC  NORTH STREET</v>
      </c>
      <c r="F3273" s="3" t="str">
        <f>CLEAN("20TH STREET TO 13TH STREET")</f>
        <v>20TH STREET TO 13TH STREET</v>
      </c>
      <c r="G3273" s="3" t="str">
        <f>CLEAN("DESIGN/PLAN CHECK REVIEW/PVRPL")</f>
        <v>DESIGN/PLAN CHECK REVIEW/PVRPL</v>
      </c>
      <c r="H3273" s="2" t="str">
        <f>CLEAN("LOC STR")</f>
        <v>LOC STR</v>
      </c>
      <c r="I3273" s="2" t="str">
        <f>CLEAN("206")</f>
        <v>206</v>
      </c>
    </row>
    <row r="3274" spans="1:9" x14ac:dyDescent="0.35">
      <c r="A3274" s="2" t="str">
        <f>CLEAN("SAUK")</f>
        <v>SAUK</v>
      </c>
      <c r="B3274" s="2" t="str">
        <f>CLEAN("VILLAGE OF PRAIRIE DU SAC")</f>
        <v>VILLAGE OF PRAIRIE DU SAC</v>
      </c>
      <c r="C3274" s="2" t="s">
        <v>187</v>
      </c>
      <c r="D3274" s="2" t="str">
        <f>CLEAN("5852-00-76")</f>
        <v>5852-00-76</v>
      </c>
      <c r="E3274" s="3" t="str">
        <f>CLEAN("V PRAIRIE DU SAC  NORTH STREET")</f>
        <v>V PRAIRIE DU SAC  NORTH STREET</v>
      </c>
      <c r="F3274" s="3" t="str">
        <f>CLEAN("20TH STREET TO 13TH STREET")</f>
        <v>20TH STREET TO 13TH STREET</v>
      </c>
      <c r="G3274" s="3" t="str">
        <f>CLEAN("CONST OPS/PAVEMENT REPLACEMENT")</f>
        <v>CONST OPS/PAVEMENT REPLACEMENT</v>
      </c>
      <c r="H3274" s="2" t="str">
        <f>CLEAN("LOC STR")</f>
        <v>LOC STR</v>
      </c>
      <c r="I3274" s="2" t="str">
        <f>CLEAN("206")</f>
        <v>206</v>
      </c>
    </row>
    <row r="3275" spans="1:9" x14ac:dyDescent="0.35">
      <c r="A3275" s="2" t="str">
        <f>CLEAN("MILWAUKEE")</f>
        <v>MILWAUKEE</v>
      </c>
      <c r="B3275" s="2" t="str">
        <f>CLEAN("VILLAGE OF RIVER HILLS")</f>
        <v>VILLAGE OF RIVER HILLS</v>
      </c>
      <c r="C3275" s="2" t="s">
        <v>818</v>
      </c>
      <c r="D3275" s="2" t="str">
        <f>CLEAN("1229-04-73")</f>
        <v>1229-04-73</v>
      </c>
      <c r="E3275" s="3" t="str">
        <f>CLEAN("I-43 NORTH SOUTH FREEWAY")</f>
        <v>I-43 NORTH SOUTH FREEWAY</v>
      </c>
      <c r="F3275" s="3" t="str">
        <f>CLEAN("BENDER ROAD TO BROWN DEER ROAD")</f>
        <v>BENDER ROAD TO BROWN DEER ROAD</v>
      </c>
      <c r="G3275" s="3" t="str">
        <f>CLEAN("CONST/RECONSTRUCTION W/ EXPANSION")</f>
        <v>CONST/RECONSTRUCTION W/ EXPANSION</v>
      </c>
      <c r="H3275" s="2" t="str">
        <f>CLEAN("IH  043")</f>
        <v>IH  043</v>
      </c>
      <c r="I3275" s="2" t="str">
        <f>CLEAN("302")</f>
        <v>302</v>
      </c>
    </row>
    <row r="3276" spans="1:9" x14ac:dyDescent="0.35">
      <c r="A3276" s="2" t="str">
        <f>CLEAN("OZAUKEE")</f>
        <v>OZAUKEE</v>
      </c>
      <c r="B3276" s="2" t="str">
        <f>CLEAN("VILLAGE OF RIVER HILLS")</f>
        <v>VILLAGE OF RIVER HILLS</v>
      </c>
      <c r="C3276" s="2" t="s">
        <v>807</v>
      </c>
      <c r="D3276" s="2" t="str">
        <f>CLEAN("1229-04-74")</f>
        <v>1229-04-74</v>
      </c>
      <c r="E3276" s="3" t="str">
        <f>CLEAN("I-43 NORTH SOUTH FREEWAY")</f>
        <v>I-43 NORTH SOUTH FREEWAY</v>
      </c>
      <c r="F3276" s="3" t="str">
        <f>CLEAN("W COUNTY LINE RD INTERCHANGE")</f>
        <v>W COUNTY LINE RD INTERCHANGE</v>
      </c>
      <c r="G3276" s="3" t="str">
        <f>CLEAN("CONST/RECONSTRUCT W/EXPANSION")</f>
        <v>CONST/RECONSTRUCT W/EXPANSION</v>
      </c>
      <c r="H3276" s="2" t="str">
        <f>CLEAN("IH  043")</f>
        <v>IH  043</v>
      </c>
      <c r="I3276" s="2" t="str">
        <f>CLEAN("302")</f>
        <v>302</v>
      </c>
    </row>
    <row r="3277" spans="1:9" x14ac:dyDescent="0.35">
      <c r="A3277" s="2" t="str">
        <f>CLEAN("ST. CROIX")</f>
        <v>ST. CROIX</v>
      </c>
      <c r="B3277" s="2" t="str">
        <f>CLEAN("VILLAGE OF ROBERTS")</f>
        <v>VILLAGE OF ROBERTS</v>
      </c>
      <c r="C3277" s="2" t="s">
        <v>1134</v>
      </c>
      <c r="D3277" s="2" t="str">
        <f>CLEAN("1540-04-73")</f>
        <v>1540-04-73</v>
      </c>
      <c r="E3277" s="3" t="str">
        <f>CLEAN("RIVER FALLS - NEW RICHMOND")</f>
        <v>RIVER FALLS - NEW RICHMOND</v>
      </c>
      <c r="F3277" s="3" t="str">
        <f>CLEAN("STH 65 EXPANSION/70TH AV INTERSECT")</f>
        <v>STH 65 EXPANSION/70TH AV INTERSECT</v>
      </c>
      <c r="G3277" s="3" t="str">
        <f>CLEAN("CONSTR/RECONSTRUCTION/EXPANSION")</f>
        <v>CONSTR/RECONSTRUCTION/EXPANSION</v>
      </c>
      <c r="H3277" s="2" t="str">
        <f>CLEAN("STH 065")</f>
        <v>STH 065</v>
      </c>
      <c r="I3277" s="2" t="str">
        <f>CLEAN("303")</f>
        <v>303</v>
      </c>
    </row>
    <row r="3278" spans="1:9" x14ac:dyDescent="0.35">
      <c r="A3278" s="2" t="str">
        <f>CLEAN("ST. CROIX")</f>
        <v>ST. CROIX</v>
      </c>
      <c r="B3278" s="2" t="str">
        <f>CLEAN("VILLAGE OF ROBERTS")</f>
        <v>VILLAGE OF ROBERTS</v>
      </c>
      <c r="C3278" s="2" t="s">
        <v>2281</v>
      </c>
      <c r="D3278" s="2" t="str">
        <f>CLEAN("8945-00-02")</f>
        <v>8945-00-02</v>
      </c>
      <c r="E3278" s="3" t="str">
        <f>CLEAN("V ROBERTS  VARIOUS LOCATIONS")</f>
        <v>V ROBERTS  VARIOUS LOCATIONS</v>
      </c>
      <c r="F3278" s="3" t="str">
        <f>CLEAN("SRTS SIDEWALK NETWORK EXPANSION")</f>
        <v>SRTS SIDEWALK NETWORK EXPANSION</v>
      </c>
      <c r="G3278" s="3" t="str">
        <f>CLEAN("DESIGN/SAFE ROUTES TO SCHOOL-TAP")</f>
        <v>DESIGN/SAFE ROUTES TO SCHOOL-TAP</v>
      </c>
      <c r="H3278" s="2" t="str">
        <f>CLEAN("OFF SYS")</f>
        <v>OFF SYS</v>
      </c>
      <c r="I3278" s="2" t="str">
        <f>CLEAN("290")</f>
        <v>290</v>
      </c>
    </row>
    <row r="3279" spans="1:9" x14ac:dyDescent="0.35">
      <c r="A3279" s="2" t="str">
        <f>CLEAN("RACINE")</f>
        <v>RACINE</v>
      </c>
      <c r="B3279" s="2" t="str">
        <f>CLEAN("VILLAGE OF ROCHESTER")</f>
        <v>VILLAGE OF ROCHESTER</v>
      </c>
      <c r="C3279" s="2" t="s">
        <v>988</v>
      </c>
      <c r="D3279" s="2" t="str">
        <f>CLEAN("2340-10-70")</f>
        <v>2340-10-70</v>
      </c>
      <c r="E3279" s="3" t="str">
        <f>CLEAN("WASHINGTON AVE  TOWN DOVER")</f>
        <v>WASHINGTON AVE  TOWN DOVER</v>
      </c>
      <c r="F3279" s="3" t="str">
        <f>CLEAN("STH 36 TO SB USH 45")</f>
        <v>STH 36 TO SB USH 45</v>
      </c>
      <c r="G3279" s="3" t="str">
        <f>CLEAN("CONST/RESURFACE")</f>
        <v>CONST/RESURFACE</v>
      </c>
      <c r="H3279" s="2" t="str">
        <f>CLEAN("STH 020")</f>
        <v>STH 020</v>
      </c>
      <c r="I3279" s="2" t="str">
        <f>CLEAN("303")</f>
        <v>303</v>
      </c>
    </row>
    <row r="3280" spans="1:9" x14ac:dyDescent="0.35">
      <c r="A3280" s="2" t="str">
        <f>CLEAN("RACINE")</f>
        <v>RACINE</v>
      </c>
      <c r="B3280" s="2" t="str">
        <f>CLEAN("VILLAGE OF ROCHESTER")</f>
        <v>VILLAGE OF ROCHESTER</v>
      </c>
      <c r="C3280" s="2" t="s">
        <v>1004</v>
      </c>
      <c r="D3280" s="2" t="str">
        <f>CLEAN("3180-00-76")</f>
        <v>3180-00-76</v>
      </c>
      <c r="E3280" s="3" t="str">
        <f>CLEAN("SPRINGFIELD - WATERFORD")</f>
        <v>SPRINGFIELD - WATERFORD</v>
      </c>
      <c r="F3280" s="3" t="str">
        <f>CLEAN("STH 83 TO STH 20")</f>
        <v>STH 83 TO STH 20</v>
      </c>
      <c r="G3280" s="3" t="str">
        <f>CLEAN("CONST/RESURFACING")</f>
        <v>CONST/RESURFACING</v>
      </c>
      <c r="H3280" s="2" t="str">
        <f>CLEAN("STH 036")</f>
        <v>STH 036</v>
      </c>
      <c r="I3280" s="2" t="str">
        <f>CLEAN("303")</f>
        <v>303</v>
      </c>
    </row>
    <row r="3281" spans="1:9" x14ac:dyDescent="0.35">
      <c r="A3281" s="2" t="str">
        <f>CLEAN("KENOSHA")</f>
        <v>KENOSHA</v>
      </c>
      <c r="B3281" s="2" t="str">
        <f>CLEAN("VILLAGE OF SALEM LAKES")</f>
        <v>VILLAGE OF SALEM LAKES</v>
      </c>
      <c r="C3281" s="2" t="s">
        <v>972</v>
      </c>
      <c r="D3281" s="2" t="str">
        <f>CLEAN("3380-06-70")</f>
        <v>3380-06-70</v>
      </c>
      <c r="E3281" s="3" t="str">
        <f>CLEAN("ANTIOCH RD  ANTIOCH - BURLINGTON")</f>
        <v>ANTIOCH RD  ANTIOCH - BURLINGTON</v>
      </c>
      <c r="F3281" s="3" t="str">
        <f>CLEAN("IL STATE LINE TO STH 50")</f>
        <v>IL STATE LINE TO STH 50</v>
      </c>
      <c r="G3281" s="3" t="str">
        <f>CLEAN("CONST/RESURFACE")</f>
        <v>CONST/RESURFACE</v>
      </c>
      <c r="H3281" s="2" t="str">
        <f>CLEAN("STH 083")</f>
        <v>STH 083</v>
      </c>
      <c r="I3281" s="2" t="str">
        <f>CLEAN("303")</f>
        <v>303</v>
      </c>
    </row>
    <row r="3282" spans="1:9" x14ac:dyDescent="0.35">
      <c r="A3282" s="2" t="str">
        <f>CLEAN("SAUK")</f>
        <v>SAUK</v>
      </c>
      <c r="B3282" s="2" t="str">
        <f>CLEAN("VILLAGE OF SAUK CITY")</f>
        <v>VILLAGE OF SAUK CITY</v>
      </c>
      <c r="C3282" s="2" t="s">
        <v>3028</v>
      </c>
      <c r="D3282" s="2" t="str">
        <f>CLEAN("5852-00-75")</f>
        <v>5852-00-75</v>
      </c>
      <c r="E3282" s="3" t="str">
        <f>CLEAN("WISCONSIN RIVER BICYCLE /PED BRIDGE")</f>
        <v>WISCONSIN RIVER BICYCLE /PED BRIDGE</v>
      </c>
      <c r="F3282" s="3" t="str">
        <f>CLEAN("GREAT RIVER TRAIL IN SAUK CITY")</f>
        <v>GREAT RIVER TRAIL IN SAUK CITY</v>
      </c>
      <c r="G3282" s="3" t="str">
        <f>CLEAN("PEDESTRAIN TRAIL")</f>
        <v>PEDESTRAIN TRAIL</v>
      </c>
      <c r="H3282" s="2" t="str">
        <f>CLEAN("NON HWY")</f>
        <v>NON HWY</v>
      </c>
      <c r="I3282" s="2" t="str">
        <f>CLEAN("290")</f>
        <v>290</v>
      </c>
    </row>
    <row r="3283" spans="1:9" x14ac:dyDescent="0.35">
      <c r="A3283" s="2" t="str">
        <f>CLEAN("MILWAUKEE")</f>
        <v>MILWAUKEE</v>
      </c>
      <c r="B3283" s="2" t="str">
        <f>CLEAN("VILLAGE OF SAUKVILLE")</f>
        <v>VILLAGE OF SAUKVILLE</v>
      </c>
      <c r="C3283" s="2" t="s">
        <v>3348</v>
      </c>
      <c r="D3283" s="2" t="str">
        <f>CLEAN("3700-20-80")</f>
        <v>3700-20-80</v>
      </c>
      <c r="E3283" s="3" t="str">
        <f>CLEAN("REPLACE EXISTING SIGNALS")</f>
        <v>REPLACE EXISTING SIGNALS</v>
      </c>
      <c r="F3283" s="3" t="str">
        <f>CLEAN("VARIOUS SIGNALIZED INTERSECTIONS")</f>
        <v>VARIOUS SIGNALIZED INTERSECTIONS</v>
      </c>
      <c r="G3283" s="3" t="str">
        <f>CLEAN("STAND ALONE PROJECT ID SE2011")</f>
        <v>STAND ALONE PROJECT ID SE2011</v>
      </c>
      <c r="H3283" s="2" t="str">
        <f>CLEAN("VAR HWY")</f>
        <v>VAR HWY</v>
      </c>
      <c r="I3283" s="2" t="str">
        <f>CLEAN("305")</f>
        <v>305</v>
      </c>
    </row>
    <row r="3284" spans="1:9" x14ac:dyDescent="0.35">
      <c r="A3284" s="2" t="str">
        <f>CLEAN("OZAUKEE")</f>
        <v>OZAUKEE</v>
      </c>
      <c r="B3284" s="2" t="str">
        <f>CLEAN("VILLAGE OF SAUKVILLE")</f>
        <v>VILLAGE OF SAUKVILLE</v>
      </c>
      <c r="C3284" s="2" t="s">
        <v>645</v>
      </c>
      <c r="D3284" s="2" t="str">
        <f>CLEAN("4821-06-80")</f>
        <v>4821-06-80</v>
      </c>
      <c r="E3284" s="3" t="str">
        <f>CLEAN("V SAUKVILLE/AMERICAN ORTHODONTICS")</f>
        <v>V SAUKVILLE/AMERICAN ORTHODONTICS</v>
      </c>
      <c r="F3284" s="3" t="str">
        <f>CLEAN("815 FT W TO 2821 FT W OF NORTHWOODS")</f>
        <v>815 FT W TO 2821 FT W OF NORTHWOODS</v>
      </c>
      <c r="G3284" s="3" t="str">
        <f>CLEAN("CONST/NEW ROAD")</f>
        <v>CONST/NEW ROAD</v>
      </c>
      <c r="H3284" s="2" t="str">
        <f>CLEAN("LOC STR")</f>
        <v>LOC STR</v>
      </c>
      <c r="I3284" s="2" t="str">
        <f>CLEAN("209")</f>
        <v>209</v>
      </c>
    </row>
    <row r="3285" spans="1:9" x14ac:dyDescent="0.35">
      <c r="A3285" s="2" t="str">
        <f>CLEAN("WAUPACA")</f>
        <v>WAUPACA</v>
      </c>
      <c r="B3285" s="2" t="str">
        <f>CLEAN("VILLAGE OF SCANDINAVIA")</f>
        <v>VILLAGE OF SCANDINAVIA</v>
      </c>
      <c r="C3285" s="2" t="s">
        <v>1137</v>
      </c>
      <c r="D3285" s="2" t="str">
        <f>CLEAN("6420-00-72")</f>
        <v>6420-00-72</v>
      </c>
      <c r="E3285" s="3" t="str">
        <f>CLEAN("WAUPACA - NORTHLAND")</f>
        <v>WAUPACA - NORTHLAND</v>
      </c>
      <c r="F3285" s="3" t="str">
        <f>CLEAN("NORTH STREET TO DEPOT STREET")</f>
        <v>NORTH STREET TO DEPOT STREET</v>
      </c>
      <c r="G3285" s="3" t="str">
        <f>CLEAN("CONSTR/RESURF")</f>
        <v>CONSTR/RESURF</v>
      </c>
      <c r="H3285" s="2" t="str">
        <f>CLEAN("STH 049")</f>
        <v>STH 049</v>
      </c>
      <c r="I3285" s="2" t="str">
        <f>CLEAN("303")</f>
        <v>303</v>
      </c>
    </row>
    <row r="3286" spans="1:9" x14ac:dyDescent="0.35">
      <c r="A3286" s="2" t="str">
        <f>CLEAN("WALWORTH")</f>
        <v>WALWORTH</v>
      </c>
      <c r="B3286" s="2" t="str">
        <f>CLEAN("VILLAGE OF SHARON")</f>
        <v>VILLAGE OF SHARON</v>
      </c>
      <c r="C3286" s="2" t="s">
        <v>1071</v>
      </c>
      <c r="D3286" s="2" t="str">
        <f>CLEAN("3838-04-50")</f>
        <v>3838-04-50</v>
      </c>
      <c r="E3286" s="3" t="str">
        <f>CLEAN("SHARON/ARNTZEN")</f>
        <v>SHARON/ARNTZEN</v>
      </c>
      <c r="F3286" s="3" t="str">
        <f>CLEAN("RAILROAD SPUR")</f>
        <v>RAILROAD SPUR</v>
      </c>
      <c r="G3286" s="3" t="str">
        <f>CLEAN("CONST/TRACK WORK")</f>
        <v>CONST/TRACK WORK</v>
      </c>
      <c r="H3286" s="2" t="str">
        <f>CLEAN("NON HWY")</f>
        <v>NON HWY</v>
      </c>
      <c r="I3286" s="2" t="str">
        <f>CLEAN("209")</f>
        <v>209</v>
      </c>
    </row>
    <row r="3287" spans="1:9" x14ac:dyDescent="0.35">
      <c r="A3287" s="2" t="str">
        <f>CLEAN("OUTAGAMIE")</f>
        <v>OUTAGAMIE</v>
      </c>
      <c r="B3287" s="2" t="str">
        <f>CLEAN("VILLAGE OF SHIOCTON")</f>
        <v>VILLAGE OF SHIOCTON</v>
      </c>
      <c r="C3287" s="2" t="s">
        <v>310</v>
      </c>
      <c r="D3287" s="2" t="str">
        <f>CLEAN("6230-16-71")</f>
        <v>6230-16-71</v>
      </c>
      <c r="E3287" s="3" t="str">
        <f>CLEAN("NEW LONDON-SHIOCTON")</f>
        <v>NEW LONDON-SHIOCTON</v>
      </c>
      <c r="F3287" s="3" t="str">
        <f>CLEAN("WCL-PARK AVENUE")</f>
        <v>WCL-PARK AVENUE</v>
      </c>
      <c r="G3287" s="3" t="str">
        <f>CLEAN("CONST OPS/RSRF30/HSIP")</f>
        <v>CONST OPS/RSRF30/HSIP</v>
      </c>
      <c r="H3287" s="2" t="str">
        <f>CLEAN("STH 054")</f>
        <v>STH 054</v>
      </c>
      <c r="I3287" s="2" t="str">
        <f>CLEAN("303")</f>
        <v>303</v>
      </c>
    </row>
    <row r="3288" spans="1:9" x14ac:dyDescent="0.35">
      <c r="A3288" s="2" t="str">
        <f>CLEAN("MILWAUKEE")</f>
        <v>MILWAUKEE</v>
      </c>
      <c r="B3288" s="2" t="str">
        <f>CLEAN("VILLAGE OF SHOREWOOD")</f>
        <v>VILLAGE OF SHOREWOOD</v>
      </c>
      <c r="C3288" s="2" t="s">
        <v>2907</v>
      </c>
      <c r="D3288" s="2" t="str">
        <f>CLEAN("2225-13-00")</f>
        <v>2225-13-00</v>
      </c>
      <c r="E3288" s="3" t="str">
        <f>CLEAN("V SHOREWOOD N LAKE DR")</f>
        <v>V SHOREWOOD N LAKE DR</v>
      </c>
      <c r="F3288" s="3" t="str">
        <f>CLEAN("EDGEWOOD AVE TO KENSINGTON BLVD")</f>
        <v>EDGEWOOD AVE TO KENSINGTON BLVD</v>
      </c>
      <c r="G3288" s="3" t="str">
        <f>CLEAN("PE/PAVEMENT REPLACEMENT")</f>
        <v>PE/PAVEMENT REPLACEMENT</v>
      </c>
      <c r="H3288" s="2" t="str">
        <f>CLEAN("STH 032")</f>
        <v>STH 032</v>
      </c>
      <c r="I3288" s="2" t="str">
        <f>CLEAN("303")</f>
        <v>303</v>
      </c>
    </row>
    <row r="3289" spans="1:9" x14ac:dyDescent="0.35">
      <c r="A3289" s="2" t="str">
        <f>CLEAN("MILWAUKEE")</f>
        <v>MILWAUKEE</v>
      </c>
      <c r="B3289" s="2" t="str">
        <f>CLEAN("VILLAGE OF SHOREWOOD")</f>
        <v>VILLAGE OF SHOREWOOD</v>
      </c>
      <c r="C3289" s="2" t="s">
        <v>662</v>
      </c>
      <c r="D3289" s="2" t="str">
        <f>CLEAN("2225-13-70")</f>
        <v>2225-13-70</v>
      </c>
      <c r="E3289" s="3" t="str">
        <f>CLEAN("V SHOREWOOD  N LAKE DR")</f>
        <v>V SHOREWOOD  N LAKE DR</v>
      </c>
      <c r="F3289" s="3" t="str">
        <f>CLEAN("EDGEWOOD AVE TO KENSINGTON BLVD")</f>
        <v>EDGEWOOD AVE TO KENSINGTON BLVD</v>
      </c>
      <c r="G3289" s="3" t="str">
        <f>CLEAN("CONST/PAVEMENT REPLACEMENT")</f>
        <v>CONST/PAVEMENT REPLACEMENT</v>
      </c>
      <c r="H3289" s="2" t="str">
        <f>CLEAN("STH 032")</f>
        <v>STH 032</v>
      </c>
      <c r="I3289" s="2" t="str">
        <f>CLEAN("303")</f>
        <v>303</v>
      </c>
    </row>
    <row r="3290" spans="1:9" x14ac:dyDescent="0.35">
      <c r="A3290" s="2" t="str">
        <f>CLEAN("DANE")</f>
        <v>DANE</v>
      </c>
      <c r="B3290" s="2" t="str">
        <f>CLEAN("VILLAGE OF SHOREWOOD HILLS")</f>
        <v>VILLAGE OF SHOREWOOD HILLS</v>
      </c>
      <c r="C3290" s="2" t="s">
        <v>1804</v>
      </c>
      <c r="D3290" s="2" t="str">
        <f>CLEAN("5992-10-03")</f>
        <v>5992-10-03</v>
      </c>
      <c r="E3290" s="3" t="str">
        <f>CLEAN("V SHOREWOOD HILLS  LAKE MENDOTA DR")</f>
        <v>V SHOREWOOD HILLS  LAKE MENDOTA DR</v>
      </c>
      <c r="F3290" s="3" t="str">
        <f>CLEAN("MULTI-USE TRAIL  P-13-0715")</f>
        <v>MULTI-USE TRAIL  P-13-0715</v>
      </c>
      <c r="G3290" s="3" t="str">
        <f>CLEAN("DESIGN/BRIDGE REPLACEMENT")</f>
        <v>DESIGN/BRIDGE REPLACEMENT</v>
      </c>
      <c r="H3290" s="2" t="str">
        <f>CLEAN("LOC STR")</f>
        <v>LOC STR</v>
      </c>
      <c r="I3290" s="2" t="str">
        <f>CLEAN("205")</f>
        <v>205</v>
      </c>
    </row>
    <row r="3291" spans="1:9" x14ac:dyDescent="0.35">
      <c r="A3291" s="2" t="str">
        <f>CLEAN("DANE")</f>
        <v>DANE</v>
      </c>
      <c r="B3291" s="2" t="str">
        <f>CLEAN("VILLAGE OF SHOREWOOD HILLS")</f>
        <v>VILLAGE OF SHOREWOOD HILLS</v>
      </c>
      <c r="C3291" s="2" t="s">
        <v>119</v>
      </c>
      <c r="D3291" s="2" t="str">
        <f>CLEAN("5992-10-04")</f>
        <v>5992-10-04</v>
      </c>
      <c r="E3291" s="3" t="str">
        <f>CLEAN("V SHOREWOOD HILLS  LAKE MENDOTA DR")</f>
        <v>V SHOREWOOD HILLS  LAKE MENDOTA DR</v>
      </c>
      <c r="F3291" s="3" t="str">
        <f>CLEAN("MULTI-USE TRAIL  B-13-0692")</f>
        <v>MULTI-USE TRAIL  B-13-0692</v>
      </c>
      <c r="G3291" s="3" t="str">
        <f>CLEAN("CONST OPS/BRIDGE REPLACEMENT")</f>
        <v>CONST OPS/BRIDGE REPLACEMENT</v>
      </c>
      <c r="H3291" s="2" t="str">
        <f>CLEAN("LOC STR")</f>
        <v>LOC STR</v>
      </c>
      <c r="I3291" s="2" t="str">
        <f>CLEAN("205")</f>
        <v>205</v>
      </c>
    </row>
    <row r="3292" spans="1:9" x14ac:dyDescent="0.35">
      <c r="A3292" s="2" t="str">
        <f>CLEAN("BURNETT")</f>
        <v>BURNETT</v>
      </c>
      <c r="B3292" s="2" t="str">
        <f>CLEAN("VILLAGE OF SIREN")</f>
        <v>VILLAGE OF SIREN</v>
      </c>
      <c r="C3292" s="2" t="s">
        <v>1365</v>
      </c>
      <c r="D3292" s="2" t="str">
        <f>CLEAN("8010-01-79")</f>
        <v>8010-01-79</v>
      </c>
      <c r="E3292" s="3" t="str">
        <f>CLEAN("SIREN - DANBURY")</f>
        <v>SIREN - DANBURY</v>
      </c>
      <c r="F3292" s="3" t="str">
        <f>CLEAN("LANQUIST ST TO STH 70 E")</f>
        <v>LANQUIST ST TO STH 70 E</v>
      </c>
      <c r="G3292" s="3" t="str">
        <f>CLEAN("CONSTRUCTION/RESURFACING")</f>
        <v>CONSTRUCTION/RESURFACING</v>
      </c>
      <c r="H3292" s="2" t="str">
        <f>CLEAN("STH 035")</f>
        <v>STH 035</v>
      </c>
      <c r="I3292" s="2" t="str">
        <f>CLEAN("303")</f>
        <v>303</v>
      </c>
    </row>
    <row r="3293" spans="1:9" x14ac:dyDescent="0.35">
      <c r="A3293" s="2" t="str">
        <f>CLEAN("DOOR")</f>
        <v>DOOR</v>
      </c>
      <c r="B3293" s="2" t="str">
        <f>CLEAN("VILLAGE OF SISTER BAY")</f>
        <v>VILLAGE OF SISTER BAY</v>
      </c>
      <c r="C3293" s="2" t="s">
        <v>2389</v>
      </c>
      <c r="D3293" s="2" t="str">
        <f>CLEAN("4610-00-00")</f>
        <v>4610-00-00</v>
      </c>
      <c r="E3293" s="3" t="str">
        <f>CLEAN("V SISTER BAY  STH 57 TRAIL")</f>
        <v>V SISTER BAY  STH 57 TRAIL</v>
      </c>
      <c r="F3293" s="3" t="str">
        <f>CLEAN("NORTHWOODS DRIVE - STH 42")</f>
        <v>NORTHWOODS DRIVE - STH 42</v>
      </c>
      <c r="G3293" s="3" t="str">
        <f>CLEAN("DSGN/FULL PSE/MISC")</f>
        <v>DSGN/FULL PSE/MISC</v>
      </c>
      <c r="H3293" s="2" t="str">
        <f>CLEAN("STH 057")</f>
        <v>STH 057</v>
      </c>
      <c r="I3293" s="2" t="str">
        <f>CLEAN("290")</f>
        <v>290</v>
      </c>
    </row>
    <row r="3294" spans="1:9" x14ac:dyDescent="0.35">
      <c r="A3294" s="2" t="str">
        <f>CLEAN("WASHINGTON")</f>
        <v>WASHINGTON</v>
      </c>
      <c r="B3294" s="2" t="str">
        <f>CLEAN("VILLAGE OF SLINGER")</f>
        <v>VILLAGE OF SLINGER</v>
      </c>
      <c r="C3294" s="2" t="s">
        <v>2677</v>
      </c>
      <c r="D3294" s="2" t="str">
        <f>CLEAN("2010-03-03")</f>
        <v>2010-03-03</v>
      </c>
      <c r="E3294" s="3" t="str">
        <f>CLEAN("V SLINGER  WASHINGTON ST")</f>
        <v>V SLINGER  WASHINGTON ST</v>
      </c>
      <c r="F3294" s="3" t="str">
        <f>CLEAN("STH 60 TO N MAPLE AVE")</f>
        <v>STH 60 TO N MAPLE AVE</v>
      </c>
      <c r="G3294" s="3" t="str">
        <f>CLEAN("PE/FULL PS &amp; E ROW/RSRF20")</f>
        <v>PE/FULL PS &amp; E ROW/RSRF20</v>
      </c>
      <c r="H3294" s="2" t="str">
        <f>CLEAN("STH 175")</f>
        <v>STH 175</v>
      </c>
      <c r="I3294" s="2" t="str">
        <f>CLEAN("303")</f>
        <v>303</v>
      </c>
    </row>
    <row r="3295" spans="1:9" x14ac:dyDescent="0.35">
      <c r="A3295" s="2" t="str">
        <f>CLEAN("WASHINGTON")</f>
        <v>WASHINGTON</v>
      </c>
      <c r="B3295" s="2" t="str">
        <f>CLEAN("VILLAGE OF SLINGER")</f>
        <v>VILLAGE OF SLINGER</v>
      </c>
      <c r="C3295" s="2" t="s">
        <v>3141</v>
      </c>
      <c r="D3295" s="2" t="str">
        <f>CLEAN("3360-07-23")</f>
        <v>3360-07-23</v>
      </c>
      <c r="E3295" s="3" t="str">
        <f>CLEAN("SLINGER - THERESA")</f>
        <v>SLINGER - THERESA</v>
      </c>
      <c r="F3295" s="3" t="str">
        <f>CLEAN("MAPLE AVE TO 1600' NORTH OF CTH K")</f>
        <v>MAPLE AVE TO 1600' NORTH OF CTH K</v>
      </c>
      <c r="G3295" s="3" t="str">
        <f>CLEAN("RE/PVRPLA")</f>
        <v>RE/PVRPLA</v>
      </c>
      <c r="H3295" s="2" t="str">
        <f>CLEAN("STH 175")</f>
        <v>STH 175</v>
      </c>
      <c r="I3295" s="2" t="str">
        <f>CLEAN("303")</f>
        <v>303</v>
      </c>
    </row>
    <row r="3296" spans="1:9" x14ac:dyDescent="0.35">
      <c r="A3296" s="2" t="str">
        <f>CLEAN("WASHINGTON")</f>
        <v>WASHINGTON</v>
      </c>
      <c r="B3296" s="2" t="str">
        <f>CLEAN("VILLAGE OF SLINGER")</f>
        <v>VILLAGE OF SLINGER</v>
      </c>
      <c r="C3296" s="2" t="s">
        <v>3156</v>
      </c>
      <c r="D3296" s="2" t="str">
        <f>CLEAN("2310-25-21")</f>
        <v>2310-25-21</v>
      </c>
      <c r="E3296" s="3" t="str">
        <f>CLEAN("HARTFORD TO JACKSON")</f>
        <v>HARTFORD TO JACKSON</v>
      </c>
      <c r="F3296" s="3" t="str">
        <f>CLEAN("WAYSIDE DR TO 1300' E OF IH 41 I/C")</f>
        <v>WAYSIDE DR TO 1300' E OF IH 41 I/C</v>
      </c>
      <c r="G3296" s="3" t="str">
        <f>CLEAN("RE/RSRF25")</f>
        <v>RE/RSRF25</v>
      </c>
      <c r="H3296" s="2" t="str">
        <f>CLEAN("STH 060")</f>
        <v>STH 060</v>
      </c>
      <c r="I3296" s="2" t="str">
        <f>CLEAN("303")</f>
        <v>303</v>
      </c>
    </row>
    <row r="3297" spans="1:9" x14ac:dyDescent="0.35">
      <c r="A3297" s="2" t="str">
        <f>CLEAN("WASHINGTON")</f>
        <v>WASHINGTON</v>
      </c>
      <c r="B3297" s="2" t="str">
        <f>CLEAN("VILLAGE OF SLINGER")</f>
        <v>VILLAGE OF SLINGER</v>
      </c>
      <c r="C3297" s="2" t="s">
        <v>2832</v>
      </c>
      <c r="D3297" s="2" t="str">
        <f>CLEAN("2705-00-02")</f>
        <v>2705-00-02</v>
      </c>
      <c r="E3297" s="3" t="str">
        <f>CLEAN("V SLINGER  ARTHUR ROAD")</f>
        <v>V SLINGER  ARTHUR ROAD</v>
      </c>
      <c r="F3297" s="3" t="str">
        <f>CLEAN("BRIDGE OVER CN RR TRACKS P-66-0075")</f>
        <v>BRIDGE OVER CN RR TRACKS P-66-0075</v>
      </c>
      <c r="G3297" s="3" t="str">
        <f>CLEAN("PE/FULL PSE/BRIDGE REPLACEMENT")</f>
        <v>PE/FULL PSE/BRIDGE REPLACEMENT</v>
      </c>
      <c r="H3297" s="2" t="str">
        <f>CLEAN("LOC STR")</f>
        <v>LOC STR</v>
      </c>
      <c r="I3297" s="2" t="str">
        <f>CLEAN("205")</f>
        <v>205</v>
      </c>
    </row>
    <row r="3298" spans="1:9" x14ac:dyDescent="0.35">
      <c r="A3298" s="2" t="str">
        <f>CLEAN("WASHINGTON")</f>
        <v>WASHINGTON</v>
      </c>
      <c r="B3298" s="2" t="str">
        <f>CLEAN("VILLAGE OF SLINGER")</f>
        <v>VILLAGE OF SLINGER</v>
      </c>
      <c r="C3298" s="2" t="s">
        <v>646</v>
      </c>
      <c r="D3298" s="2" t="str">
        <f>CLEAN("2709-03-80")</f>
        <v>2709-03-80</v>
      </c>
      <c r="E3298" s="3" t="str">
        <f>CLEAN("V SLINGER  ALLEGIS CORP  KARIUS CT")</f>
        <v>V SLINGER  ALLEGIS CORP  KARIUS CT</v>
      </c>
      <c r="F3298" s="3" t="str">
        <f>CLEAN("HETZEL WAY TO 750' SW")</f>
        <v>HETZEL WAY TO 750' SW</v>
      </c>
      <c r="G3298" s="3" t="str">
        <f>CLEAN("CONST/NEW ROAD")</f>
        <v>CONST/NEW ROAD</v>
      </c>
      <c r="H3298" s="2" t="str">
        <f>CLEAN("LOC STR")</f>
        <v>LOC STR</v>
      </c>
      <c r="I3298" s="2" t="str">
        <f>CLEAN("209")</f>
        <v>209</v>
      </c>
    </row>
    <row r="3299" spans="1:9" x14ac:dyDescent="0.35">
      <c r="A3299" s="2" t="str">
        <f>CLEAN("CRAWFORD")</f>
        <v>CRAWFORD</v>
      </c>
      <c r="B3299" s="2" t="str">
        <f>CLEAN("VILLAGE OF SOLDIERS GROVE")</f>
        <v>VILLAGE OF SOLDIERS GROVE</v>
      </c>
      <c r="C3299" s="2" t="s">
        <v>612</v>
      </c>
      <c r="D3299" s="2" t="str">
        <f>CLEAN("5780-03-63")</f>
        <v>5780-03-63</v>
      </c>
      <c r="E3299" s="3" t="str">
        <f>CLEAN("WAUZEKA - SOLDIERS GROVE")</f>
        <v>WAUZEKA - SOLDIERS GROVE</v>
      </c>
      <c r="F3299" s="3" t="str">
        <f>CLEAN("KICKAPOO RIVER B-12-172 TO USH 61")</f>
        <v>KICKAPOO RIVER B-12-172 TO USH 61</v>
      </c>
      <c r="G3299" s="3" t="str">
        <f>CLEAN("CONST/MILL &amp; OVERLAY/PSRS")</f>
        <v>CONST/MILL &amp; OVERLAY/PSRS</v>
      </c>
      <c r="H3299" s="2" t="str">
        <f>CLEAN("STH 131")</f>
        <v>STH 131</v>
      </c>
      <c r="I3299" s="2" t="str">
        <f t="shared" ref="I3299:I3304" si="492">CLEAN("303")</f>
        <v>303</v>
      </c>
    </row>
    <row r="3300" spans="1:9" x14ac:dyDescent="0.35">
      <c r="A3300" s="2" t="str">
        <f>CLEAN("CRAWFORD")</f>
        <v>CRAWFORD</v>
      </c>
      <c r="B3300" s="2" t="str">
        <f>CLEAN("VILLAGE OF SOLDIERS GROVE")</f>
        <v>VILLAGE OF SOLDIERS GROVE</v>
      </c>
      <c r="C3300" s="2" t="s">
        <v>606</v>
      </c>
      <c r="D3300" s="2" t="str">
        <f>CLEAN("5780-03-72")</f>
        <v>5780-03-72</v>
      </c>
      <c r="E3300" s="3" t="str">
        <f>CLEAN("WAUZEKA - SOLDIERS GROVE")</f>
        <v>WAUZEKA - SOLDIERS GROVE</v>
      </c>
      <c r="F3300" s="3" t="str">
        <f>CLEAN("SUNNY RIDGE ROAD TO PLEASANT STREET")</f>
        <v>SUNNY RIDGE ROAD TO PLEASANT STREET</v>
      </c>
      <c r="G3300" s="3" t="str">
        <f>CLEAN("CONST/MILL &amp; O'LAY/B-12-79/PVRPLA")</f>
        <v>CONST/MILL &amp; O'LAY/B-12-79/PVRPLA</v>
      </c>
      <c r="H3300" s="2" t="str">
        <f>CLEAN("STH 131")</f>
        <v>STH 131</v>
      </c>
      <c r="I3300" s="2" t="str">
        <f t="shared" si="492"/>
        <v>303</v>
      </c>
    </row>
    <row r="3301" spans="1:9" x14ac:dyDescent="0.35">
      <c r="A3301" s="2" t="str">
        <f>CLEAN("RACINE")</f>
        <v>RACINE</v>
      </c>
      <c r="B3301" s="2" t="str">
        <f>CLEAN("VILLAGE OF SOMERS")</f>
        <v>VILLAGE OF SOMERS</v>
      </c>
      <c r="C3301" s="2" t="s">
        <v>753</v>
      </c>
      <c r="D3301" s="2" t="str">
        <f>CLEAN("3763-00-74")</f>
        <v>3763-00-74</v>
      </c>
      <c r="E3301" s="3" t="str">
        <f>CLEAN("CTH KR  V MT PLEASANT")</f>
        <v>CTH KR  V MT PLEASANT</v>
      </c>
      <c r="F3301" s="3" t="str">
        <f>CLEAN("CTH H TO OLD GREENBAY ROAD")</f>
        <v>CTH H TO OLD GREENBAY ROAD</v>
      </c>
      <c r="G3301" s="3" t="str">
        <f>CLEAN("CONST/RECONST W/ ADDED CAPACITY")</f>
        <v>CONST/RECONST W/ ADDED CAPACITY</v>
      </c>
      <c r="H3301" s="2" t="str">
        <f>CLEAN("CTH KR")</f>
        <v>CTH KR</v>
      </c>
      <c r="I3301" s="2" t="str">
        <f t="shared" si="492"/>
        <v>303</v>
      </c>
    </row>
    <row r="3302" spans="1:9" x14ac:dyDescent="0.35">
      <c r="A3302" s="2" t="str">
        <f>CLEAN("ST. CROIX")</f>
        <v>ST. CROIX</v>
      </c>
      <c r="B3302" s="2" t="str">
        <f>CLEAN("VILLAGE OF SOMERSET")</f>
        <v>VILLAGE OF SOMERSET</v>
      </c>
      <c r="C3302" s="2" t="s">
        <v>2041</v>
      </c>
      <c r="D3302" s="2" t="str">
        <f>CLEAN("8060-00-00")</f>
        <v>8060-00-00</v>
      </c>
      <c r="E3302" s="3" t="str">
        <f>CLEAN("SOMERSET - ST CROIX FALLS")</f>
        <v>SOMERSET - ST CROIX FALLS</v>
      </c>
      <c r="F3302" s="3" t="str">
        <f>CLEAN("CTH C TO LASER DRIVE")</f>
        <v>CTH C TO LASER DRIVE</v>
      </c>
      <c r="G3302" s="3" t="str">
        <f>CLEAN("DESIGN/PAVEMENT REPLACEMENT")</f>
        <v>DESIGN/PAVEMENT REPLACEMENT</v>
      </c>
      <c r="H3302" s="2" t="str">
        <f>CLEAN("STH 035")</f>
        <v>STH 035</v>
      </c>
      <c r="I3302" s="2" t="str">
        <f t="shared" si="492"/>
        <v>303</v>
      </c>
    </row>
    <row r="3303" spans="1:9" x14ac:dyDescent="0.35">
      <c r="A3303" s="2" t="str">
        <f>CLEAN("ST. CROIX")</f>
        <v>ST. CROIX</v>
      </c>
      <c r="B3303" s="2" t="str">
        <f>CLEAN("VILLAGE OF SOMERSET")</f>
        <v>VILLAGE OF SOMERSET</v>
      </c>
      <c r="C3303" s="2" t="s">
        <v>3161</v>
      </c>
      <c r="D3303" s="2" t="str">
        <f>CLEAN("8060-00-20")</f>
        <v>8060-00-20</v>
      </c>
      <c r="E3303" s="3" t="str">
        <f>CLEAN("SOMERSET - ST CROIX FALLS")</f>
        <v>SOMERSET - ST CROIX FALLS</v>
      </c>
      <c r="F3303" s="3" t="str">
        <f>CLEAN("CTH C TO LASER DRIVE")</f>
        <v>CTH C TO LASER DRIVE</v>
      </c>
      <c r="G3303" s="3" t="str">
        <f>CLEAN("REAL ESTATE ACQUISITION")</f>
        <v>REAL ESTATE ACQUISITION</v>
      </c>
      <c r="H3303" s="2" t="str">
        <f>CLEAN("STH 035")</f>
        <v>STH 035</v>
      </c>
      <c r="I3303" s="2" t="str">
        <f t="shared" si="492"/>
        <v>303</v>
      </c>
    </row>
    <row r="3304" spans="1:9" x14ac:dyDescent="0.35">
      <c r="A3304" s="2" t="str">
        <f>CLEAN("ST. CROIX")</f>
        <v>ST. CROIX</v>
      </c>
      <c r="B3304" s="2" t="str">
        <f>CLEAN("VILLAGE OF SOMERSET")</f>
        <v>VILLAGE OF SOMERSET</v>
      </c>
      <c r="C3304" s="2" t="s">
        <v>1143</v>
      </c>
      <c r="D3304" s="2" t="str">
        <f>CLEAN("8060-00-72")</f>
        <v>8060-00-72</v>
      </c>
      <c r="E3304" s="3" t="str">
        <f>CLEAN("SOMERSET - ST CROIX FALLS")</f>
        <v>SOMERSET - ST CROIX FALLS</v>
      </c>
      <c r="F3304" s="3" t="str">
        <f>CLEAN("CTH C TO LASER DRIVE")</f>
        <v>CTH C TO LASER DRIVE</v>
      </c>
      <c r="G3304" s="3" t="str">
        <f>CLEAN("CONSTR/SANITARY SEWER &amp; WATER MAIN")</f>
        <v>CONSTR/SANITARY SEWER &amp; WATER MAIN</v>
      </c>
      <c r="H3304" s="2" t="str">
        <f>CLEAN("STH 035")</f>
        <v>STH 035</v>
      </c>
      <c r="I3304" s="2" t="str">
        <f t="shared" si="492"/>
        <v>303</v>
      </c>
    </row>
    <row r="3305" spans="1:9" x14ac:dyDescent="0.35">
      <c r="A3305" s="2" t="str">
        <f>CLEAN("ST. CROIX")</f>
        <v>ST. CROIX</v>
      </c>
      <c r="B3305" s="2" t="str">
        <f>CLEAN("VILLAGE OF SOMERSET")</f>
        <v>VILLAGE OF SOMERSET</v>
      </c>
      <c r="C3305" s="2" t="s">
        <v>1737</v>
      </c>
      <c r="D3305" s="2" t="str">
        <f>CLEAN("8938-00-01")</f>
        <v>8938-00-01</v>
      </c>
      <c r="E3305" s="3" t="str">
        <f>CLEAN("V SOMERSET  SOMERSET TRAIL")</f>
        <v>V SOMERSET  SOMERSET TRAIL</v>
      </c>
      <c r="F3305" s="3" t="str">
        <f>CLEAN("SIDEWALKS ON VARIOUS STREETS")</f>
        <v>SIDEWALKS ON VARIOUS STREETS</v>
      </c>
      <c r="G3305" s="3" t="str">
        <f>CLEAN("DESIGN/BIKE &amp; PED TRAIL TAP PROGRAM")</f>
        <v>DESIGN/BIKE &amp; PED TRAIL TAP PROGRAM</v>
      </c>
      <c r="H3305" s="2" t="str">
        <f>CLEAN("LOC STR")</f>
        <v>LOC STR</v>
      </c>
      <c r="I3305" s="2" t="str">
        <f>CLEAN("290")</f>
        <v>290</v>
      </c>
    </row>
    <row r="3306" spans="1:9" x14ac:dyDescent="0.35">
      <c r="A3306" s="2" t="str">
        <f>CLEAN("ST. CROIX")</f>
        <v>ST. CROIX</v>
      </c>
      <c r="B3306" s="2" t="str">
        <f>CLEAN("VILLAGE OF SOMERSET")</f>
        <v>VILLAGE OF SOMERSET</v>
      </c>
      <c r="C3306" s="2" t="s">
        <v>1120</v>
      </c>
      <c r="D3306" s="2" t="str">
        <f>CLEAN("8938-00-71")</f>
        <v>8938-00-71</v>
      </c>
      <c r="E3306" s="3" t="str">
        <f>CLEAN("V SOMERSET  SOMERSET TRAIL")</f>
        <v>V SOMERSET  SOMERSET TRAIL</v>
      </c>
      <c r="F3306" s="3" t="str">
        <f>CLEAN("SIDEWALKS ON VARIOUS STREETS")</f>
        <v>SIDEWALKS ON VARIOUS STREETS</v>
      </c>
      <c r="G3306" s="3" t="str">
        <f>CLEAN("CONSTR/BIKE &amp; PED TRAIL TAP PROGRAM")</f>
        <v>CONSTR/BIKE &amp; PED TRAIL TAP PROGRAM</v>
      </c>
      <c r="H3306" s="2" t="str">
        <f>CLEAN("NON HWY")</f>
        <v>NON HWY</v>
      </c>
      <c r="I3306" s="2" t="str">
        <f>CLEAN("290")</f>
        <v>290</v>
      </c>
    </row>
    <row r="3307" spans="1:9" x14ac:dyDescent="0.35">
      <c r="A3307" s="2" t="str">
        <f>CLEAN("MARATHON")</f>
        <v>MARATHON</v>
      </c>
      <c r="B3307" s="2" t="str">
        <f>CLEAN("VILLAGE OF SPENCER")</f>
        <v>VILLAGE OF SPENCER</v>
      </c>
      <c r="C3307" s="2" t="s">
        <v>1699</v>
      </c>
      <c r="D3307" s="2" t="str">
        <f>CLEAN("6685-04-01")</f>
        <v>6685-04-01</v>
      </c>
      <c r="E3307" s="3" t="str">
        <f>CLEAN("V SPENCER  SIDEWALKS AND CROSSINGS")</f>
        <v>V SPENCER  SIDEWALKS AND CROSSINGS</v>
      </c>
      <c r="F3307" s="3" t="str">
        <f>CLEAN("VARIOUS STREETS")</f>
        <v>VARIOUS STREETS</v>
      </c>
      <c r="G3307" s="3" t="str">
        <f>CLEAN("DESIGN OVERSITE")</f>
        <v>DESIGN OVERSITE</v>
      </c>
      <c r="H3307" s="2" t="str">
        <f>CLEAN("NON HWY")</f>
        <v>NON HWY</v>
      </c>
      <c r="I3307" s="2" t="str">
        <f>CLEAN("290")</f>
        <v>290</v>
      </c>
    </row>
    <row r="3308" spans="1:9" x14ac:dyDescent="0.35">
      <c r="A3308" s="2" t="str">
        <f>CLEAN("MARATHON")</f>
        <v>MARATHON</v>
      </c>
      <c r="B3308" s="2" t="str">
        <f>CLEAN("VILLAGE OF SPENCER")</f>
        <v>VILLAGE OF SPENCER</v>
      </c>
      <c r="C3308" s="2" t="s">
        <v>1131</v>
      </c>
      <c r="D3308" s="2" t="str">
        <f>CLEAN("1620-01-62")</f>
        <v>1620-01-62</v>
      </c>
      <c r="E3308" s="3" t="str">
        <f>CLEAN("MARSHFIELD - ABBOTSFORD")</f>
        <v>MARSHFIELD - ABBOTSFORD</v>
      </c>
      <c r="F3308" s="3" t="str">
        <f>CLEAN("STH 98 TO SOUTH JUNCTION CTH N")</f>
        <v>STH 98 TO SOUTH JUNCTION CTH N</v>
      </c>
      <c r="G3308" s="3" t="str">
        <f>CLEAN("CONSTR/PREV MAINT APPRVL 3/25/15")</f>
        <v>CONSTR/PREV MAINT APPRVL 3/25/15</v>
      </c>
      <c r="H3308" s="2" t="str">
        <f>CLEAN("STH 013")</f>
        <v>STH 013</v>
      </c>
      <c r="I3308" s="2" t="str">
        <f>CLEAN("303")</f>
        <v>303</v>
      </c>
    </row>
    <row r="3309" spans="1:9" x14ac:dyDescent="0.35">
      <c r="A3309" s="2" t="str">
        <f>CLEAN("MARATHON")</f>
        <v>MARATHON</v>
      </c>
      <c r="B3309" s="2" t="str">
        <f>CLEAN("VILLAGE OF SPENCER")</f>
        <v>VILLAGE OF SPENCER</v>
      </c>
      <c r="C3309" s="2" t="s">
        <v>2272</v>
      </c>
      <c r="D3309" s="2" t="str">
        <f>CLEAN("6685-04-00")</f>
        <v>6685-04-00</v>
      </c>
      <c r="E3309" s="3" t="str">
        <f>CLEAN("V SPENCER  EAST WILLOW DRIVE")</f>
        <v>V SPENCER  EAST WILLOW DRIVE</v>
      </c>
      <c r="F3309" s="3" t="str">
        <f>CLEAN("S LASALLE ST TO S MONROE ST")</f>
        <v>S LASALLE ST TO S MONROE ST</v>
      </c>
      <c r="G3309" s="3" t="str">
        <f>CLEAN("DESIGN/RESURFACE")</f>
        <v>DESIGN/RESURFACE</v>
      </c>
      <c r="H3309" s="2" t="str">
        <f>CLEAN("LOC STR")</f>
        <v>LOC STR</v>
      </c>
      <c r="I3309" s="2" t="str">
        <f>CLEAN("206")</f>
        <v>206</v>
      </c>
    </row>
    <row r="3310" spans="1:9" x14ac:dyDescent="0.35">
      <c r="A3310" s="2" t="str">
        <f>CLEAN("MARATHON")</f>
        <v>MARATHON</v>
      </c>
      <c r="B3310" s="2" t="str">
        <f>CLEAN("VILLAGE OF SPENCER")</f>
        <v>VILLAGE OF SPENCER</v>
      </c>
      <c r="C3310" s="2" t="s">
        <v>725</v>
      </c>
      <c r="D3310" s="2" t="str">
        <f>CLEAN("6685-04-70")</f>
        <v>6685-04-70</v>
      </c>
      <c r="E3310" s="3" t="str">
        <f>CLEAN("V SPENCER  EAST WILLOW DRIVE")</f>
        <v>V SPENCER  EAST WILLOW DRIVE</v>
      </c>
      <c r="F3310" s="3" t="str">
        <f>CLEAN("S LASALLE ST TO S MONROE ST")</f>
        <v>S LASALLE ST TO S MONROE ST</v>
      </c>
      <c r="G3310" s="3" t="str">
        <f>CLEAN("CONST/PVRPLA")</f>
        <v>CONST/PVRPLA</v>
      </c>
      <c r="H3310" s="2" t="str">
        <f>CLEAN("LOC STR")</f>
        <v>LOC STR</v>
      </c>
      <c r="I3310" s="2" t="str">
        <f>CLEAN("206")</f>
        <v>206</v>
      </c>
    </row>
    <row r="3311" spans="1:9" x14ac:dyDescent="0.35">
      <c r="A3311" s="2" t="str">
        <f>CLEAN("SAUK")</f>
        <v>SAUK</v>
      </c>
      <c r="B3311" s="2" t="str">
        <f>CLEAN("VILLAGE OF SPRING GREEN")</f>
        <v>VILLAGE OF SPRING GREEN</v>
      </c>
      <c r="C3311" s="2" t="s">
        <v>346</v>
      </c>
      <c r="D3311" s="2" t="str">
        <f>CLEAN("5255-01-73")</f>
        <v>5255-01-73</v>
      </c>
      <c r="E3311" s="3" t="str">
        <f>CLEAN("MINERAL POINT - SPRING GREEN")</f>
        <v>MINERAL POINT - SPRING GREEN</v>
      </c>
      <c r="F3311" s="3" t="str">
        <f>CLEAN("WISCONSIN RIVER BRIDGE TO USH 14")</f>
        <v>WISCONSIN RIVER BRIDGE TO USH 14</v>
      </c>
      <c r="G3311" s="3" t="str">
        <f>CLEAN("CONST/ MILL AND OVERLAY")</f>
        <v>CONST/ MILL AND OVERLAY</v>
      </c>
      <c r="H3311" s="2" t="str">
        <f>CLEAN("STH 023")</f>
        <v>STH 023</v>
      </c>
      <c r="I3311" s="2" t="str">
        <f>CLEAN("303")</f>
        <v>303</v>
      </c>
    </row>
    <row r="3312" spans="1:9" x14ac:dyDescent="0.35">
      <c r="A3312" s="2" t="str">
        <f>CLEAN("TAYLOR")</f>
        <v>TAYLOR</v>
      </c>
      <c r="B3312" s="2" t="str">
        <f>CLEAN("VILLAGE OF STETSONVILLE")</f>
        <v>VILLAGE OF STETSONVILLE</v>
      </c>
      <c r="C3312" s="2" t="s">
        <v>2282</v>
      </c>
      <c r="D3312" s="2" t="str">
        <f>CLEAN("8887-03-03")</f>
        <v>8887-03-03</v>
      </c>
      <c r="E3312" s="3" t="str">
        <f>CLEAN("V STETSONVILLE  CTH A SIDEWALK")</f>
        <v>V STETSONVILLE  CTH A SIDEWALK</v>
      </c>
      <c r="F3312" s="3" t="str">
        <f>CLEAN("STETSONVILLE SCHOOL TO N JEFFERSON")</f>
        <v>STETSONVILLE SCHOOL TO N JEFFERSON</v>
      </c>
      <c r="G3312" s="3" t="str">
        <f>CLEAN("DESIGN/SAFE ROUTES TO SCHOOL-TAP")</f>
        <v>DESIGN/SAFE ROUTES TO SCHOOL-TAP</v>
      </c>
      <c r="H3312" s="2" t="str">
        <f>CLEAN("OFF SYS")</f>
        <v>OFF SYS</v>
      </c>
      <c r="I3312" s="2" t="str">
        <f>CLEAN("290")</f>
        <v>290</v>
      </c>
    </row>
    <row r="3313" spans="1:9" x14ac:dyDescent="0.35">
      <c r="A3313" s="2" t="str">
        <f>CLEAN("CRAWFORD")</f>
        <v>CRAWFORD</v>
      </c>
      <c r="B3313" s="2" t="str">
        <f>CLEAN("VILLAGE OF STEUBEN")</f>
        <v>VILLAGE OF STEUBEN</v>
      </c>
      <c r="C3313" s="2" t="s">
        <v>653</v>
      </c>
      <c r="D3313" s="2" t="str">
        <f>CLEAN("5780-03-61")</f>
        <v>5780-03-61</v>
      </c>
      <c r="E3313" s="3" t="str">
        <f>CLEAN("WAUZEKA - SOLDIERS GROVE")</f>
        <v>WAUZEKA - SOLDIERS GROVE</v>
      </c>
      <c r="F3313" s="3" t="str">
        <f>CLEAN("STH 60 TO 0.49 MI E RAILWAY ST")</f>
        <v>STH 60 TO 0.49 MI E RAILWAY ST</v>
      </c>
      <c r="G3313" s="3" t="str">
        <f>CLEAN("CONST/PAVEMENT REPLACE/PVRPLA")</f>
        <v>CONST/PAVEMENT REPLACE/PVRPLA</v>
      </c>
      <c r="H3313" s="2" t="str">
        <f>CLEAN("STH 131")</f>
        <v>STH 131</v>
      </c>
      <c r="I3313" s="2" t="str">
        <f>CLEAN("303")</f>
        <v>303</v>
      </c>
    </row>
    <row r="3314" spans="1:9" x14ac:dyDescent="0.35">
      <c r="A3314" s="2" t="str">
        <f>CLEAN("VERNON")</f>
        <v>VERNON</v>
      </c>
      <c r="B3314" s="2" t="str">
        <f>CLEAN("VILLAGE OF STODDARD")</f>
        <v>VILLAGE OF STODDARD</v>
      </c>
      <c r="C3314" s="2" t="s">
        <v>27</v>
      </c>
      <c r="D3314" s="2" t="str">
        <f>CLEAN("5865-02-64")</f>
        <v>5865-02-64</v>
      </c>
      <c r="E3314" s="3" t="str">
        <f>CLEAN("STODDARD - COON VALLEY")</f>
        <v>STODDARD - COON VALLEY</v>
      </c>
      <c r="F3314" s="3" t="str">
        <f>CLEAN("VILLAGE PARK DRIVEWAY TO DEPOT ST")</f>
        <v>VILLAGE PARK DRIVEWAY TO DEPOT ST</v>
      </c>
      <c r="G3314" s="3" t="str">
        <f>CLEAN("CON/MILL &amp; O'LAY/B62-29 83 984/RSRF")</f>
        <v>CON/MILL &amp; O'LAY/B62-29 83 984/RSRF</v>
      </c>
      <c r="H3314" s="2" t="str">
        <f>CLEAN("STH 162")</f>
        <v>STH 162</v>
      </c>
      <c r="I3314" s="2" t="str">
        <f>CLEAN("303")</f>
        <v>303</v>
      </c>
    </row>
    <row r="3315" spans="1:9" x14ac:dyDescent="0.35">
      <c r="A3315" s="2" t="str">
        <f>CLEAN("VERNON")</f>
        <v>VERNON</v>
      </c>
      <c r="B3315" s="2" t="str">
        <f>CLEAN("VILLAGE OF STODDARD")</f>
        <v>VILLAGE OF STODDARD</v>
      </c>
      <c r="C3315" s="2" t="s">
        <v>1027</v>
      </c>
      <c r="D3315" s="2" t="str">
        <f>CLEAN("5865-02-74")</f>
        <v>5865-02-74</v>
      </c>
      <c r="E3315" s="3" t="str">
        <f>CLEAN("STODDARD - COON VALLEY")</f>
        <v>STODDARD - COON VALLEY</v>
      </c>
      <c r="F3315" s="3" t="str">
        <f>CLEAN("VILLAGE PARK DRIVEWAY TO DEPOT ST")</f>
        <v>VILLAGE PARK DRIVEWAY TO DEPOT ST</v>
      </c>
      <c r="G3315" s="3" t="str">
        <f>CLEAN("CONST/SANITARY &amp; WATER REPLACE/RSRF")</f>
        <v>CONST/SANITARY &amp; WATER REPLACE/RSRF</v>
      </c>
      <c r="H3315" s="2" t="str">
        <f>CLEAN("STH 162")</f>
        <v>STH 162</v>
      </c>
      <c r="I3315" s="2" t="str">
        <f>CLEAN("303")</f>
        <v>303</v>
      </c>
    </row>
    <row r="3316" spans="1:9" x14ac:dyDescent="0.35">
      <c r="A3316" s="2" t="str">
        <f>CLEAN("MARATHON")</f>
        <v>MARATHON</v>
      </c>
      <c r="B3316" s="2" t="str">
        <f>CLEAN("VILLAGE OF STRATFORD")</f>
        <v>VILLAGE OF STRATFORD</v>
      </c>
      <c r="C3316" s="2" t="s">
        <v>1140</v>
      </c>
      <c r="D3316" s="2" t="str">
        <f>CLEAN("6380-00-62")</f>
        <v>6380-00-62</v>
      </c>
      <c r="E3316" s="3" t="str">
        <f>CLEAN("MARSHFIELD - STRATFORD")</f>
        <v>MARSHFIELD - STRATFORD</v>
      </c>
      <c r="F3316" s="3" t="str">
        <f>CLEAN("NORTHRIDGE ST TO REFLECTION ST")</f>
        <v>NORTHRIDGE ST TO REFLECTION ST</v>
      </c>
      <c r="G3316" s="3" t="str">
        <f>CLEAN("CONSTR/RESURFACE")</f>
        <v>CONSTR/RESURFACE</v>
      </c>
      <c r="H3316" s="2" t="str">
        <f>CLEAN("STH 097")</f>
        <v>STH 097</v>
      </c>
      <c r="I3316" s="2" t="str">
        <f>CLEAN("303")</f>
        <v>303</v>
      </c>
    </row>
    <row r="3317" spans="1:9" x14ac:dyDescent="0.35">
      <c r="A3317" s="2" t="str">
        <f>CLEAN("MARATHON")</f>
        <v>MARATHON</v>
      </c>
      <c r="B3317" s="2" t="str">
        <f>CLEAN("VILLAGE OF STRATFORD")</f>
        <v>VILLAGE OF STRATFORD</v>
      </c>
      <c r="C3317" s="2" t="s">
        <v>1902</v>
      </c>
      <c r="D3317" s="2" t="str">
        <f>CLEAN("6380-01-00")</f>
        <v>6380-01-00</v>
      </c>
      <c r="E3317" s="3" t="str">
        <f>CLEAN("V STRATFORD  SRTS SIDEWALKS")</f>
        <v>V STRATFORD  SRTS SIDEWALKS</v>
      </c>
      <c r="F3317" s="3" t="str">
        <f>CLEAN("STH 97 AND STH 153")</f>
        <v>STH 97 AND STH 153</v>
      </c>
      <c r="G3317" s="3" t="str">
        <f>CLEAN("DESIGN/FULL PSE/MISC")</f>
        <v>DESIGN/FULL PSE/MISC</v>
      </c>
      <c r="H3317" s="2" t="str">
        <f>CLEAN("NON HWY")</f>
        <v>NON HWY</v>
      </c>
      <c r="I3317" s="2" t="str">
        <f>CLEAN("290")</f>
        <v>290</v>
      </c>
    </row>
    <row r="3318" spans="1:9" x14ac:dyDescent="0.35">
      <c r="A3318" s="2" t="str">
        <f>CLEAN("MARATHON")</f>
        <v>MARATHON</v>
      </c>
      <c r="B3318" s="2" t="str">
        <f>CLEAN("VILLAGE OF STRATFORD")</f>
        <v>VILLAGE OF STRATFORD</v>
      </c>
      <c r="C3318" s="2" t="s">
        <v>634</v>
      </c>
      <c r="D3318" s="2" t="str">
        <f>CLEAN("6380-01-70")</f>
        <v>6380-01-70</v>
      </c>
      <c r="E3318" s="3" t="str">
        <f>CLEAN("V STRATFORD  SRTS SIDEWALKS")</f>
        <v>V STRATFORD  SRTS SIDEWALKS</v>
      </c>
      <c r="F3318" s="3" t="str">
        <f>CLEAN("STH 97 AND STH 153")</f>
        <v>STH 97 AND STH 153</v>
      </c>
      <c r="G3318" s="3" t="str">
        <f>CLEAN("CONST/MISC")</f>
        <v>CONST/MISC</v>
      </c>
      <c r="H3318" s="2" t="str">
        <f>CLEAN("NON HWY")</f>
        <v>NON HWY</v>
      </c>
      <c r="I3318" s="2" t="str">
        <f>CLEAN("290")</f>
        <v>290</v>
      </c>
    </row>
    <row r="3319" spans="1:9" x14ac:dyDescent="0.35">
      <c r="A3319" s="2" t="str">
        <f>CLEAN("TREMPEALEAU")</f>
        <v>TREMPEALEAU</v>
      </c>
      <c r="B3319" s="2" t="str">
        <f>CLEAN("VILLAGE OF STRUM")</f>
        <v>VILLAGE OF STRUM</v>
      </c>
      <c r="C3319" s="2" t="s">
        <v>1350</v>
      </c>
      <c r="D3319" s="2" t="str">
        <f>CLEAN("1530-06-80")</f>
        <v>1530-06-80</v>
      </c>
      <c r="E3319" s="3" t="str">
        <f>CLEAN("MONDOVI - OSSEO")</f>
        <v>MONDOVI - OSSEO</v>
      </c>
      <c r="F3319" s="3" t="str">
        <f>CLEAN("HUNT LANE TO NELSON ROAD")</f>
        <v>HUNT LANE TO NELSON ROAD</v>
      </c>
      <c r="G3319" s="3" t="str">
        <f>CLEAN("CONSTRUCTION/RESURFACE")</f>
        <v>CONSTRUCTION/RESURFACE</v>
      </c>
      <c r="H3319" s="2" t="str">
        <f>CLEAN("USH 010")</f>
        <v>USH 010</v>
      </c>
      <c r="I3319" s="2" t="str">
        <f>CLEAN("303")</f>
        <v>303</v>
      </c>
    </row>
    <row r="3320" spans="1:9" x14ac:dyDescent="0.35">
      <c r="A3320" s="2" t="str">
        <f>CLEAN("RACINE")</f>
        <v>RACINE</v>
      </c>
      <c r="B3320" s="2" t="str">
        <f>CLEAN("VILLAGE OF STURTEVANT")</f>
        <v>VILLAGE OF STURTEVANT</v>
      </c>
      <c r="C3320" s="2" t="s">
        <v>754</v>
      </c>
      <c r="D3320" s="2" t="str">
        <f>CLEAN("1320-23-71")</f>
        <v>1320-23-71</v>
      </c>
      <c r="E3320" s="3" t="str">
        <f>CLEAN("STH 11")</f>
        <v>STH 11</v>
      </c>
      <c r="F3320" s="3" t="str">
        <f>CLEAN("CTH H INTERSECTION")</f>
        <v>CTH H INTERSECTION</v>
      </c>
      <c r="G3320" s="3" t="str">
        <f>CLEAN("CONST/RECONST W/ADDED CAPACITY")</f>
        <v>CONST/RECONST W/ADDED CAPACITY</v>
      </c>
      <c r="H3320" s="2" t="str">
        <f>CLEAN("STH 011")</f>
        <v>STH 011</v>
      </c>
      <c r="I3320" s="2" t="str">
        <f>CLEAN("303")</f>
        <v>303</v>
      </c>
    </row>
    <row r="3321" spans="1:9" x14ac:dyDescent="0.35">
      <c r="A3321" s="2" t="str">
        <f>CLEAN("RACINE")</f>
        <v>RACINE</v>
      </c>
      <c r="B3321" s="2" t="str">
        <f>CLEAN("VILLAGE OF STURTEVANT")</f>
        <v>VILLAGE OF STURTEVANT</v>
      </c>
      <c r="C3321" s="2" t="s">
        <v>751</v>
      </c>
      <c r="D3321" s="2" t="str">
        <f>CLEAN("1320-23-73")</f>
        <v>1320-23-73</v>
      </c>
      <c r="E3321" s="3" t="str">
        <f>CLEAN("STH 11  WISCONN VALLEY WAY TO CTH H")</f>
        <v>STH 11  WISCONN VALLEY WAY TO CTH H</v>
      </c>
      <c r="F3321" s="3" t="str">
        <f>CLEAN("WISCONN VALLEY WAY TO CTH H")</f>
        <v>WISCONN VALLEY WAY TO CTH H</v>
      </c>
      <c r="G3321" s="3" t="str">
        <f>CLEAN("CONST/RECONST ADDED CAPACITY")</f>
        <v>CONST/RECONST ADDED CAPACITY</v>
      </c>
      <c r="H3321" s="2" t="str">
        <f>CLEAN("STH 011")</f>
        <v>STH 011</v>
      </c>
      <c r="I3321" s="2" t="str">
        <f>CLEAN("303")</f>
        <v>303</v>
      </c>
    </row>
    <row r="3322" spans="1:9" x14ac:dyDescent="0.35">
      <c r="A3322" s="2" t="str">
        <f t="shared" ref="A3322:A3328" si="493">CLEAN("WAUKESHA")</f>
        <v>WAUKESHA</v>
      </c>
      <c r="B3322" s="2" t="str">
        <f>CLEAN("VILLAGE OF SUMMIT")</f>
        <v>VILLAGE OF SUMMIT</v>
      </c>
      <c r="C3322" s="2" t="s">
        <v>2640</v>
      </c>
      <c r="D3322" s="2" t="str">
        <f>CLEAN("3853-03-00")</f>
        <v>3853-03-00</v>
      </c>
      <c r="E3322" s="3" t="str">
        <f>CLEAN("DELAFIELD ROAD")</f>
        <v>DELAFIELD ROAD</v>
      </c>
      <c r="F3322" s="3" t="str">
        <f>CLEAN("BRIDGE OVER BATTLE CREEK")</f>
        <v>BRIDGE OVER BATTLE CREEK</v>
      </c>
      <c r="G3322" s="3" t="str">
        <f>CLEAN("PE/BRIDGE REPLACEMENT")</f>
        <v>PE/BRIDGE REPLACEMENT</v>
      </c>
      <c r="H3322" s="2" t="str">
        <f>CLEAN("LOC STR")</f>
        <v>LOC STR</v>
      </c>
      <c r="I3322" s="2" t="str">
        <f>CLEAN("205")</f>
        <v>205</v>
      </c>
    </row>
    <row r="3323" spans="1:9" x14ac:dyDescent="0.35">
      <c r="A3323" s="2" t="str">
        <f t="shared" si="493"/>
        <v>WAUKESHA</v>
      </c>
      <c r="B3323" s="2" t="str">
        <f>CLEAN("VILLAGE OF SUMMIT")</f>
        <v>VILLAGE OF SUMMIT</v>
      </c>
      <c r="C3323" s="2" t="s">
        <v>411</v>
      </c>
      <c r="D3323" s="2" t="str">
        <f>CLEAN("3853-03-70")</f>
        <v>3853-03-70</v>
      </c>
      <c r="E3323" s="3" t="str">
        <f>CLEAN("V SUMMIT DELAFIELD ROAD")</f>
        <v>V SUMMIT DELAFIELD ROAD</v>
      </c>
      <c r="F3323" s="3" t="str">
        <f>CLEAN("BRIDGE OVER BATTLE CREEK B-67-0670")</f>
        <v>BRIDGE OVER BATTLE CREEK B-67-0670</v>
      </c>
      <c r="G3323" s="3" t="str">
        <f>CLEAN("CONST/BRIDGE REPLACEMENT")</f>
        <v>CONST/BRIDGE REPLACEMENT</v>
      </c>
      <c r="H3323" s="2" t="str">
        <f>CLEAN("LOC STR")</f>
        <v>LOC STR</v>
      </c>
      <c r="I3323" s="2" t="str">
        <f>CLEAN("205")</f>
        <v>205</v>
      </c>
    </row>
    <row r="3324" spans="1:9" x14ac:dyDescent="0.35">
      <c r="A3324" s="2" t="str">
        <f t="shared" si="493"/>
        <v>WAUKESHA</v>
      </c>
      <c r="B3324" s="2" t="str">
        <f>CLEAN("VILLAGE OF SUMMIT")</f>
        <v>VILLAGE OF SUMMIT</v>
      </c>
      <c r="C3324" s="2" t="s">
        <v>2732</v>
      </c>
      <c r="D3324" s="2" t="str">
        <f>CLEAN("3853-05-00")</f>
        <v>3853-05-00</v>
      </c>
      <c r="E3324" s="3" t="str">
        <f>CLEAN("V SUMMIT; N DOUSMAN MULTI-USE TRAIL")</f>
        <v>V SUMMIT; N DOUSMAN MULTI-USE TRAIL</v>
      </c>
      <c r="F3324" s="3" t="str">
        <f>CLEAN("GENESEE LAKE RD &amp; GENESEE LAKE PARK")</f>
        <v>GENESEE LAKE RD &amp; GENESEE LAKE PARK</v>
      </c>
      <c r="G3324" s="3" t="str">
        <f>CLEAN("PE/FULL PS&amp;E/MISC")</f>
        <v>PE/FULL PS&amp;E/MISC</v>
      </c>
      <c r="H3324" s="2" t="str">
        <f>CLEAN("NON HWY")</f>
        <v>NON HWY</v>
      </c>
      <c r="I3324" s="2" t="str">
        <f>CLEAN("290")</f>
        <v>290</v>
      </c>
    </row>
    <row r="3325" spans="1:9" x14ac:dyDescent="0.35">
      <c r="A3325" s="2" t="str">
        <f t="shared" si="493"/>
        <v>WAUKESHA</v>
      </c>
      <c r="B3325" s="2" t="str">
        <f>CLEAN("VILLAGE OF SUMMIT")</f>
        <v>VILLAGE OF SUMMIT</v>
      </c>
      <c r="C3325" s="2" t="s">
        <v>375</v>
      </c>
      <c r="D3325" s="2" t="str">
        <f>CLEAN("3853-05-70")</f>
        <v>3853-05-70</v>
      </c>
      <c r="E3325" s="3" t="str">
        <f>CLEAN("V SUMMIT; N DOUSMAN MULTI-USE TRAIL")</f>
        <v>V SUMMIT; N DOUSMAN MULTI-USE TRAIL</v>
      </c>
      <c r="F3325" s="3" t="str">
        <f>CLEAN("GENESEE LAKE RD &amp; GENESEE LAKE PARK")</f>
        <v>GENESEE LAKE RD &amp; GENESEE LAKE PARK</v>
      </c>
      <c r="G3325" s="3" t="str">
        <f>CLEAN("CONST/BIKEPED PATH")</f>
        <v>CONST/BIKEPED PATH</v>
      </c>
      <c r="H3325" s="2" t="str">
        <f>CLEAN("NON HWY")</f>
        <v>NON HWY</v>
      </c>
      <c r="I3325" s="2" t="str">
        <f>CLEAN("290")</f>
        <v>290</v>
      </c>
    </row>
    <row r="3326" spans="1:9" x14ac:dyDescent="0.35">
      <c r="A3326" s="2" t="str">
        <f t="shared" si="493"/>
        <v>WAUKESHA</v>
      </c>
      <c r="B3326" s="2" t="str">
        <f>CLEAN("VILLAGE OF SUSSEX")</f>
        <v>VILLAGE OF SUSSEX</v>
      </c>
      <c r="C3326" s="2" t="s">
        <v>2984</v>
      </c>
      <c r="D3326" s="2" t="str">
        <f>CLEAN("2713-05-01")</f>
        <v>2713-05-01</v>
      </c>
      <c r="E3326" s="3" t="str">
        <f>CLEAN("V SUSSEX  CORKY CURTIS TRAIL")</f>
        <v>V SUSSEX  CORKY CURTIS TRAIL</v>
      </c>
      <c r="F3326" s="3" t="str">
        <f>CLEAN("CTH K TO SUSSEX PRESERVE SUBDIV")</f>
        <v>CTH K TO SUSSEX PRESERVE SUBDIV</v>
      </c>
      <c r="G3326" s="3" t="str">
        <f>CLEAN("PE/STATE REVIEW ONLY")</f>
        <v>PE/STATE REVIEW ONLY</v>
      </c>
      <c r="H3326" s="2" t="str">
        <f>CLEAN("NON HWY")</f>
        <v>NON HWY</v>
      </c>
      <c r="I3326" s="2" t="str">
        <f>CLEAN("206")</f>
        <v>206</v>
      </c>
    </row>
    <row r="3327" spans="1:9" x14ac:dyDescent="0.35">
      <c r="A3327" s="2" t="str">
        <f t="shared" si="493"/>
        <v>WAUKESHA</v>
      </c>
      <c r="B3327" s="2" t="str">
        <f>CLEAN("VILLAGE OF SUSSEX")</f>
        <v>VILLAGE OF SUSSEX</v>
      </c>
      <c r="C3327" s="2" t="s">
        <v>2856</v>
      </c>
      <c r="D3327" s="2" t="str">
        <f>CLEAN("2716-04-01")</f>
        <v>2716-04-01</v>
      </c>
      <c r="E3327" s="3" t="str">
        <f>CLEAN("V SUSSEX NE INTERCEPTOR TRAIL")</f>
        <v>V SUSSEX NE INTERCEPTOR TRAIL</v>
      </c>
      <c r="F3327" s="3" t="str">
        <f>CLEAN("GOOD HOPE RD TO WOODLAND COURT")</f>
        <v>GOOD HOPE RD TO WOODLAND COURT</v>
      </c>
      <c r="G3327" s="3" t="str">
        <f>CLEAN("PE/FULL PSE/MISC")</f>
        <v>PE/FULL PSE/MISC</v>
      </c>
      <c r="H3327" s="2" t="str">
        <f>CLEAN("NON HWY")</f>
        <v>NON HWY</v>
      </c>
      <c r="I3327" s="2" t="str">
        <f>CLEAN("211")</f>
        <v>211</v>
      </c>
    </row>
    <row r="3328" spans="1:9" x14ac:dyDescent="0.35">
      <c r="A3328" s="2" t="str">
        <f t="shared" si="493"/>
        <v>WAUKESHA</v>
      </c>
      <c r="B3328" s="2" t="str">
        <f>CLEAN("VILLAGE OF SUSSEX")</f>
        <v>VILLAGE OF SUSSEX</v>
      </c>
      <c r="C3328" s="2" t="s">
        <v>992</v>
      </c>
      <c r="D3328" s="2" t="str">
        <f>CLEAN("2370-00-75")</f>
        <v>2370-00-75</v>
      </c>
      <c r="E3328" s="3" t="str">
        <f>CLEAN("WAUKESHA - SLINGER")</f>
        <v>WAUKESHA - SLINGER</v>
      </c>
      <c r="F3328" s="3" t="str">
        <f>CLEAN("SWAN ROAD TO SILVER SPRING DR")</f>
        <v>SWAN ROAD TO SILVER SPRING DR</v>
      </c>
      <c r="G3328" s="3" t="str">
        <f>CLEAN("CONST/RESURFACE")</f>
        <v>CONST/RESURFACE</v>
      </c>
      <c r="H3328" s="2" t="str">
        <f>CLEAN("STH 164")</f>
        <v>STH 164</v>
      </c>
      <c r="I3328" s="2" t="str">
        <f>CLEAN("303")</f>
        <v>303</v>
      </c>
    </row>
    <row r="3329" spans="1:9" x14ac:dyDescent="0.35">
      <c r="A3329" s="2" t="str">
        <f>CLEAN("DODGE")</f>
        <v>DODGE</v>
      </c>
      <c r="B3329" s="2" t="str">
        <f>CLEAN("VILLAGE OF THERESA")</f>
        <v>VILLAGE OF THERESA</v>
      </c>
      <c r="C3329" s="2" t="s">
        <v>330</v>
      </c>
      <c r="D3329" s="2" t="str">
        <f>CLEAN("3364-02-63")</f>
        <v>3364-02-63</v>
      </c>
      <c r="E3329" s="3" t="str">
        <f>CLEAN("SLINGER - THERESA")</f>
        <v>SLINGER - THERESA</v>
      </c>
      <c r="F3329" s="3" t="str">
        <f>CLEAN("EAST COUNTY LINE TO CTH DD")</f>
        <v>EAST COUNTY LINE TO CTH DD</v>
      </c>
      <c r="G3329" s="3" t="str">
        <f>CLEAN("CONST/ MILL AND OVERLAY")</f>
        <v>CONST/ MILL AND OVERLAY</v>
      </c>
      <c r="H3329" s="2" t="str">
        <f>CLEAN("STH 175")</f>
        <v>STH 175</v>
      </c>
      <c r="I3329" s="2" t="str">
        <f>CLEAN("303")</f>
        <v>303</v>
      </c>
    </row>
    <row r="3330" spans="1:9" x14ac:dyDescent="0.35">
      <c r="A3330" s="2" t="str">
        <f>CLEAN("DODGE")</f>
        <v>DODGE</v>
      </c>
      <c r="B3330" s="2" t="str">
        <f>CLEAN("VILLAGE OF THERESA")</f>
        <v>VILLAGE OF THERESA</v>
      </c>
      <c r="C3330" s="2" t="s">
        <v>1117</v>
      </c>
      <c r="D3330" s="2" t="str">
        <f>CLEAN("3364-02-65")</f>
        <v>3364-02-65</v>
      </c>
      <c r="E3330" s="3" t="str">
        <f>CLEAN("SLINGER - THERESA")</f>
        <v>SLINGER - THERESA</v>
      </c>
      <c r="F3330" s="3" t="str">
        <f>CLEAN("S MENOMONEE STREET TO CTH DD")</f>
        <v>S MENOMONEE STREET TO CTH DD</v>
      </c>
      <c r="G3330" s="3" t="str">
        <f>CLEAN("CONSTR/ PSRS40/ SANITARY &amp; WATER")</f>
        <v>CONSTR/ PSRS40/ SANITARY &amp; WATER</v>
      </c>
      <c r="H3330" s="2" t="str">
        <f>CLEAN("STH 175")</f>
        <v>STH 175</v>
      </c>
      <c r="I3330" s="2" t="str">
        <f>CLEAN("303")</f>
        <v>303</v>
      </c>
    </row>
    <row r="3331" spans="1:9" x14ac:dyDescent="0.35">
      <c r="A3331" s="2" t="str">
        <f>CLEAN("OZAUKEE")</f>
        <v>OZAUKEE</v>
      </c>
      <c r="B3331" s="2" t="str">
        <f>CLEAN("VILLAGE OF THIENSVILLE")</f>
        <v>VILLAGE OF THIENSVILLE</v>
      </c>
      <c r="C3331" s="2" t="s">
        <v>2730</v>
      </c>
      <c r="D3331" s="2" t="str">
        <f>CLEAN("2697-04-03")</f>
        <v>2697-04-03</v>
      </c>
      <c r="E3331" s="3" t="str">
        <f>CLEAN("V THIENSVILLE  WILLIAMSBURG DR")</f>
        <v>V THIENSVILLE  WILLIAMSBURG DR</v>
      </c>
      <c r="F3331" s="3" t="str">
        <f>CLEAN("PIGEON CREEK  P45-0710")</f>
        <v>PIGEON CREEK  P45-0710</v>
      </c>
      <c r="G3331" s="3" t="str">
        <f>CLEAN("PE/FULL PS&amp;E/BRRPL")</f>
        <v>PE/FULL PS&amp;E/BRRPL</v>
      </c>
      <c r="H3331" s="2" t="str">
        <f>CLEAN("LOC STR")</f>
        <v>LOC STR</v>
      </c>
      <c r="I3331" s="2" t="str">
        <f>CLEAN("205")</f>
        <v>205</v>
      </c>
    </row>
    <row r="3332" spans="1:9" x14ac:dyDescent="0.35">
      <c r="A3332" s="2" t="str">
        <f>CLEAN("RUSK")</f>
        <v>RUSK</v>
      </c>
      <c r="B3332" s="2" t="str">
        <f>CLEAN("VILLAGE OF TONY")</f>
        <v>VILLAGE OF TONY</v>
      </c>
      <c r="C3332" s="2" t="s">
        <v>1355</v>
      </c>
      <c r="D3332" s="2" t="str">
        <f>CLEAN("1580-04-72")</f>
        <v>1580-04-72</v>
      </c>
      <c r="E3332" s="3" t="str">
        <f>CLEAN("LADYSMITH - HAWKINS")</f>
        <v>LADYSMITH - HAWKINS</v>
      </c>
      <c r="F3332" s="3" t="str">
        <f>CLEAN("RIVER AVENUE TO PRENTICE STREET")</f>
        <v>RIVER AVENUE TO PRENTICE STREET</v>
      </c>
      <c r="G3332" s="3" t="str">
        <f>CLEAN("CONSTRUCTION/RESURFACE")</f>
        <v>CONSTRUCTION/RESURFACE</v>
      </c>
      <c r="H3332" s="2" t="str">
        <f>CLEAN("USH 008")</f>
        <v>USH 008</v>
      </c>
      <c r="I3332" s="2" t="str">
        <f>CLEAN("303")</f>
        <v>303</v>
      </c>
    </row>
    <row r="3333" spans="1:9" x14ac:dyDescent="0.35">
      <c r="A3333" s="2" t="str">
        <f>CLEAN("TREMPEALEAU")</f>
        <v>TREMPEALEAU</v>
      </c>
      <c r="B3333" s="2" t="str">
        <f>CLEAN("VILLAGE OF TREMPEALEAU")</f>
        <v>VILLAGE OF TREMPEALEAU</v>
      </c>
      <c r="C3333" s="2" t="s">
        <v>1279</v>
      </c>
      <c r="D3333" s="2" t="str">
        <f>CLEAN("7140-00-70")</f>
        <v>7140-00-70</v>
      </c>
      <c r="E3333" s="3" t="str">
        <f>CLEAN("LA CROSSE - TREMPEALEAU")</f>
        <v>LA CROSSE - TREMPEALEAU</v>
      </c>
      <c r="F3333" s="3" t="str">
        <f>CLEAN("LA CROSSE/TREMP CO LN TO 10TH ST")</f>
        <v>LA CROSSE/TREMP CO LN TO 10TH ST</v>
      </c>
      <c r="G3333" s="3" t="str">
        <f>CLEAN("CONSTRUCTION/CIR/RESURFACE")</f>
        <v>CONSTRUCTION/CIR/RESURFACE</v>
      </c>
      <c r="H3333" s="2" t="str">
        <f>CLEAN("STH 035")</f>
        <v>STH 035</v>
      </c>
      <c r="I3333" s="2" t="str">
        <f>CLEAN("303")</f>
        <v>303</v>
      </c>
    </row>
    <row r="3334" spans="1:9" x14ac:dyDescent="0.35">
      <c r="A3334" s="2" t="str">
        <f>CLEAN("RACINE")</f>
        <v>RACINE</v>
      </c>
      <c r="B3334" s="2" t="str">
        <f>CLEAN("VILLAGE OF UNION GROVE")</f>
        <v>VILLAGE OF UNION GROVE</v>
      </c>
      <c r="C3334" s="2" t="s">
        <v>3140</v>
      </c>
      <c r="D3334" s="2" t="str">
        <f>CLEAN("1320-27-20")</f>
        <v>1320-27-20</v>
      </c>
      <c r="E3334" s="3" t="str">
        <f>CLEAN("VIL OF UNION GROVE  DURAND AVE")</f>
        <v>VIL OF UNION GROVE  DURAND AVE</v>
      </c>
      <c r="F3334" s="3" t="str">
        <f>CLEAN("CTH C TO 67TH DR")</f>
        <v>CTH C TO 67TH DR</v>
      </c>
      <c r="G3334" s="3" t="str">
        <f>CLEAN("RE/PVRPL")</f>
        <v>RE/PVRPL</v>
      </c>
      <c r="H3334" s="2" t="str">
        <f>CLEAN("STH 011")</f>
        <v>STH 011</v>
      </c>
      <c r="I3334" s="2" t="str">
        <f>CLEAN("303")</f>
        <v>303</v>
      </c>
    </row>
    <row r="3335" spans="1:9" x14ac:dyDescent="0.35">
      <c r="A3335" s="2" t="str">
        <f>CLEAN("WAUKESHA")</f>
        <v>WAUKESHA</v>
      </c>
      <c r="B3335" s="2" t="str">
        <f>CLEAN("VILLAGE OF VERNON")</f>
        <v>VILLAGE OF VERNON</v>
      </c>
      <c r="C3335" s="2" t="s">
        <v>2792</v>
      </c>
      <c r="D3335" s="2" t="str">
        <f>CLEAN("2719-00-01")</f>
        <v>2719-00-01</v>
      </c>
      <c r="E3335" s="3" t="str">
        <f>CLEAN("V VERNON - CENTER DR")</f>
        <v>V VERNON - CENTER DR</v>
      </c>
      <c r="F3335" s="3" t="str">
        <f>CLEAN("BRIDGE OVER FOX RIVER B67-0100")</f>
        <v>BRIDGE OVER FOX RIVER B67-0100</v>
      </c>
      <c r="G3335" s="3" t="str">
        <f>CLEAN("PE/FULL PS/BRRPL")</f>
        <v>PE/FULL PS/BRRPL</v>
      </c>
      <c r="H3335" s="2" t="str">
        <f>CLEAN("LOC STR")</f>
        <v>LOC STR</v>
      </c>
      <c r="I3335" s="2" t="str">
        <f>CLEAN("205")</f>
        <v>205</v>
      </c>
    </row>
    <row r="3336" spans="1:9" x14ac:dyDescent="0.35">
      <c r="A3336" s="2" t="str">
        <f>CLEAN("WAUKESHA")</f>
        <v>WAUKESHA</v>
      </c>
      <c r="B3336" s="2" t="str">
        <f>CLEAN("VILLAGE OF VERNON")</f>
        <v>VILLAGE OF VERNON</v>
      </c>
      <c r="C3336" s="2" t="s">
        <v>499</v>
      </c>
      <c r="D3336" s="2" t="str">
        <f>CLEAN("2719-00-71")</f>
        <v>2719-00-71</v>
      </c>
      <c r="E3336" s="3" t="str">
        <f>CLEAN("V VERNON-CENTER DR")</f>
        <v>V VERNON-CENTER DR</v>
      </c>
      <c r="F3336" s="3" t="str">
        <f>CLEAN("BRIDGE OVER FOX RIVER P67-0100")</f>
        <v>BRIDGE OVER FOX RIVER P67-0100</v>
      </c>
      <c r="G3336" s="3" t="str">
        <f>CLEAN("CONST/BRRPL")</f>
        <v>CONST/BRRPL</v>
      </c>
      <c r="H3336" s="2" t="str">
        <f>CLEAN("LOC STR")</f>
        <v>LOC STR</v>
      </c>
      <c r="I3336" s="2" t="str">
        <f>CLEAN("205")</f>
        <v>205</v>
      </c>
    </row>
    <row r="3337" spans="1:9" x14ac:dyDescent="0.35">
      <c r="A3337" s="2" t="str">
        <f>CLEAN("RICHLAND")</f>
        <v>RICHLAND</v>
      </c>
      <c r="B3337" s="2" t="str">
        <f>CLEAN("VILLAGE OF VIOLA")</f>
        <v>VILLAGE OF VIOLA</v>
      </c>
      <c r="C3337" s="2" t="s">
        <v>42</v>
      </c>
      <c r="D3337" s="2" t="str">
        <f>CLEAN("5730-00-64")</f>
        <v>5730-00-64</v>
      </c>
      <c r="E3337" s="3" t="str">
        <f>CLEAN("VIROQUA - RICHLAND CENTER")</f>
        <v>VIROQUA - RICHLAND CENTER</v>
      </c>
      <c r="F3337" s="3" t="str">
        <f>CLEAN("S JCN STH 131 TO FANCY CK B-52-223")</f>
        <v>S JCN STH 131 TO FANCY CK B-52-223</v>
      </c>
      <c r="G3337" s="3" t="str">
        <f>CLEAN("CONST / PVRPLA")</f>
        <v>CONST / PVRPLA</v>
      </c>
      <c r="H3337" s="2" t="str">
        <f>CLEAN("STH 056")</f>
        <v>STH 056</v>
      </c>
      <c r="I3337" s="2" t="str">
        <f>CLEAN("303")</f>
        <v>303</v>
      </c>
    </row>
    <row r="3338" spans="1:9" x14ac:dyDescent="0.35">
      <c r="A3338" s="2" t="str">
        <f>CLEAN("WALWORTH")</f>
        <v>WALWORTH</v>
      </c>
      <c r="B3338" s="2" t="str">
        <f>CLEAN("VILLAGE OF WALWORTH")</f>
        <v>VILLAGE OF WALWORTH</v>
      </c>
      <c r="C3338" s="2" t="s">
        <v>2709</v>
      </c>
      <c r="D3338" s="2" t="str">
        <f>CLEAN("3842-00-00")</f>
        <v>3842-00-00</v>
      </c>
      <c r="E3338" s="3" t="str">
        <f>CLEAN("V WALWORTH  WISCONSIN STREET")</f>
        <v>V WALWORTH  WISCONSIN STREET</v>
      </c>
      <c r="F3338" s="3" t="str">
        <f>CLEAN("N MAIN ST TO VILLAGE LIMITS")</f>
        <v>N MAIN ST TO VILLAGE LIMITS</v>
      </c>
      <c r="G3338" s="3" t="str">
        <f>CLEAN("PE/FULL PS&amp;E ROW/PVRPLA")</f>
        <v>PE/FULL PS&amp;E ROW/PVRPLA</v>
      </c>
      <c r="H3338" s="2" t="str">
        <f>CLEAN("LOC STR")</f>
        <v>LOC STR</v>
      </c>
      <c r="I3338" s="2" t="str">
        <f>CLEAN("206")</f>
        <v>206</v>
      </c>
    </row>
    <row r="3339" spans="1:9" x14ac:dyDescent="0.35">
      <c r="A3339" s="2" t="str">
        <f>CLEAN("WALWORTH")</f>
        <v>WALWORTH</v>
      </c>
      <c r="B3339" s="2" t="str">
        <f>CLEAN("VILLAGE OF WALWORTH")</f>
        <v>VILLAGE OF WALWORTH</v>
      </c>
      <c r="C3339" s="2" t="s">
        <v>722</v>
      </c>
      <c r="D3339" s="2" t="str">
        <f>CLEAN("3842-00-70")</f>
        <v>3842-00-70</v>
      </c>
      <c r="E3339" s="3" t="str">
        <f>CLEAN("V WALWORTH  WISCONSIN STREET")</f>
        <v>V WALWORTH  WISCONSIN STREET</v>
      </c>
      <c r="F3339" s="3" t="str">
        <f>CLEAN("N MAIN ST TO VILLAGE LIMITS")</f>
        <v>N MAIN ST TO VILLAGE LIMITS</v>
      </c>
      <c r="G3339" s="3" t="str">
        <f>CLEAN("CONST/PVRPLA")</f>
        <v>CONST/PVRPLA</v>
      </c>
      <c r="H3339" s="2" t="str">
        <f>CLEAN("LOC STR")</f>
        <v>LOC STR</v>
      </c>
      <c r="I3339" s="2" t="str">
        <f>CLEAN("206")</f>
        <v>206</v>
      </c>
    </row>
    <row r="3340" spans="1:9" x14ac:dyDescent="0.35">
      <c r="A3340" s="2" t="str">
        <f>CLEAN("DANE")</f>
        <v>DANE</v>
      </c>
      <c r="B3340" s="2" t="str">
        <f>CLEAN("VILLAGE OF WAUNAKEE")</f>
        <v>VILLAGE OF WAUNAKEE</v>
      </c>
      <c r="C3340" s="2" t="s">
        <v>607</v>
      </c>
      <c r="D3340" s="2" t="str">
        <f>CLEAN("5290-02-71")</f>
        <v>5290-02-71</v>
      </c>
      <c r="E3340" s="3" t="str">
        <f>CLEAN("MAZOMANIE - SUN PRAIRIE")</f>
        <v>MAZOMANIE - SUN PRAIRIE</v>
      </c>
      <c r="F3340" s="3" t="str">
        <f>CLEAN("DIVISION STREET TO RIVER ROAD")</f>
        <v>DIVISION STREET TO RIVER ROAD</v>
      </c>
      <c r="G3340" s="3" t="str">
        <f>CLEAN("CONST/MILL &amp; O'LAY/B-13-188/RSRF")</f>
        <v>CONST/MILL &amp; O'LAY/B-13-188/RSRF</v>
      </c>
      <c r="H3340" s="2" t="str">
        <f>CLEAN("STH 019")</f>
        <v>STH 019</v>
      </c>
      <c r="I3340" s="2" t="str">
        <f>CLEAN("303")</f>
        <v>303</v>
      </c>
    </row>
    <row r="3341" spans="1:9" x14ac:dyDescent="0.35">
      <c r="A3341" s="2" t="str">
        <f>CLEAN("CRAWFORD")</f>
        <v>CRAWFORD</v>
      </c>
      <c r="B3341" s="2" t="str">
        <f>CLEAN("VILLAGE OF WAUZEKA")</f>
        <v>VILLAGE OF WAUZEKA</v>
      </c>
      <c r="C3341" s="2" t="s">
        <v>2155</v>
      </c>
      <c r="D3341" s="2" t="str">
        <f>CLEAN("5339-00-03")</f>
        <v>5339-00-03</v>
      </c>
      <c r="E3341" s="3" t="str">
        <f>CLEAN("VILLAGE OF WAUZEKA N. TIMBER STREET")</f>
        <v>VILLAGE OF WAUZEKA N. TIMBER STREET</v>
      </c>
      <c r="F3341" s="3" t="str">
        <f>CLEAN("STH 60 TO TERMINI")</f>
        <v>STH 60 TO TERMINI</v>
      </c>
      <c r="G3341" s="3" t="str">
        <f>CLEAN("DESIGN/PLAN CHECK REVIEW/PVRPLA")</f>
        <v>DESIGN/PLAN CHECK REVIEW/PVRPLA</v>
      </c>
      <c r="H3341" s="2" t="str">
        <f>CLEAN("LOC STR")</f>
        <v>LOC STR</v>
      </c>
      <c r="I3341" s="2" t="str">
        <f>CLEAN("206")</f>
        <v>206</v>
      </c>
    </row>
    <row r="3342" spans="1:9" x14ac:dyDescent="0.35">
      <c r="A3342" s="2" t="str">
        <f>CLEAN("CRAWFORD")</f>
        <v>CRAWFORD</v>
      </c>
      <c r="B3342" s="2" t="str">
        <f>CLEAN("VILLAGE OF WAUZEKA")</f>
        <v>VILLAGE OF WAUZEKA</v>
      </c>
      <c r="C3342" s="2" t="s">
        <v>197</v>
      </c>
      <c r="D3342" s="2" t="str">
        <f>CLEAN("5339-00-73")</f>
        <v>5339-00-73</v>
      </c>
      <c r="E3342" s="3" t="str">
        <f>CLEAN("VILLAGE OF WAUZEKA N. TIMBER STREET")</f>
        <v>VILLAGE OF WAUZEKA N. TIMBER STREET</v>
      </c>
      <c r="F3342" s="3" t="str">
        <f>CLEAN("STH 60 TO TERMINI")</f>
        <v>STH 60 TO TERMINI</v>
      </c>
      <c r="G3342" s="3" t="str">
        <f>CLEAN("CONST OPS/PAVEMENT REPLACEMENT")</f>
        <v>CONST OPS/PAVEMENT REPLACEMENT</v>
      </c>
      <c r="H3342" s="2" t="str">
        <f>CLEAN("LOC STR")</f>
        <v>LOC STR</v>
      </c>
      <c r="I3342" s="2" t="str">
        <f>CLEAN("206")</f>
        <v>206</v>
      </c>
    </row>
    <row r="3343" spans="1:9" x14ac:dyDescent="0.35">
      <c r="A3343" s="2" t="str">
        <f>CLEAN("SAUK")</f>
        <v>SAUK</v>
      </c>
      <c r="B3343" s="2" t="str">
        <f>CLEAN("VILLAGE OF WEST BARABOO")</f>
        <v>VILLAGE OF WEST BARABOO</v>
      </c>
      <c r="C3343" s="2" t="s">
        <v>3167</v>
      </c>
      <c r="D3343" s="2" t="str">
        <f>CLEAN("5090-05-20")</f>
        <v>5090-05-20</v>
      </c>
      <c r="E3343" s="3" t="str">
        <f>CLEAN("REEDSBURG - BARABOO")</f>
        <v>REEDSBURG - BARABOO</v>
      </c>
      <c r="F3343" s="3" t="str">
        <f>CLEAN("W MULBERRY ST TO E V LIMITS")</f>
        <v>W MULBERRY ST TO E V LIMITS</v>
      </c>
      <c r="G3343" s="3" t="str">
        <f>CLEAN("REAL ESTATE ACQUISITION")</f>
        <v>REAL ESTATE ACQUISITION</v>
      </c>
      <c r="H3343" s="2" t="str">
        <f>CLEAN("STH 033")</f>
        <v>STH 033</v>
      </c>
      <c r="I3343" s="2" t="str">
        <f>CLEAN("303")</f>
        <v>303</v>
      </c>
    </row>
    <row r="3344" spans="1:9" x14ac:dyDescent="0.35">
      <c r="A3344" s="2" t="str">
        <f>CLEAN("SAUK")</f>
        <v>SAUK</v>
      </c>
      <c r="B3344" s="2" t="str">
        <f>CLEAN("VILLAGE OF WEST BARABOO")</f>
        <v>VILLAGE OF WEST BARABOO</v>
      </c>
      <c r="C3344" s="2" t="s">
        <v>352</v>
      </c>
      <c r="D3344" s="2" t="str">
        <f>CLEAN("5090-05-60")</f>
        <v>5090-05-60</v>
      </c>
      <c r="E3344" s="3" t="str">
        <f>CLEAN("REEDSBURG - BARABOO")</f>
        <v>REEDSBURG - BARABOO</v>
      </c>
      <c r="F3344" s="3" t="str">
        <f>CLEAN("W MULBERRY ST TO E V LIMITS")</f>
        <v>W MULBERRY ST TO E V LIMITS</v>
      </c>
      <c r="G3344" s="3" t="str">
        <f>CLEAN("CONST/ PAVEMENT REPLACEMENT")</f>
        <v>CONST/ PAVEMENT REPLACEMENT</v>
      </c>
      <c r="H3344" s="2" t="str">
        <f>CLEAN("STH 033")</f>
        <v>STH 033</v>
      </c>
      <c r="I3344" s="2" t="str">
        <f>CLEAN("303")</f>
        <v>303</v>
      </c>
    </row>
    <row r="3345" spans="1:9" x14ac:dyDescent="0.35">
      <c r="A3345" s="2" t="str">
        <f>CLEAN("SAUK")</f>
        <v>SAUK</v>
      </c>
      <c r="B3345" s="2" t="str">
        <f>CLEAN("VILLAGE OF WEST BARABOO")</f>
        <v>VILLAGE OF WEST BARABOO</v>
      </c>
      <c r="C3345" s="2" t="s">
        <v>1102</v>
      </c>
      <c r="D3345" s="2" t="str">
        <f>CLEAN("5090-05-61")</f>
        <v>5090-05-61</v>
      </c>
      <c r="E3345" s="3" t="str">
        <f>CLEAN("REEDSBURG - BARABOO")</f>
        <v>REEDSBURG - BARABOO</v>
      </c>
      <c r="F3345" s="3" t="str">
        <f>CLEAN("W MULBERRY ST TO E V LIMITS")</f>
        <v>W MULBERRY ST TO E V LIMITS</v>
      </c>
      <c r="G3345" s="3" t="str">
        <f>CLEAN("CONST/WATER MAIN/SANITARY SEWER")</f>
        <v>CONST/WATER MAIN/SANITARY SEWER</v>
      </c>
      <c r="H3345" s="2" t="str">
        <f>CLEAN("STH 033")</f>
        <v>STH 033</v>
      </c>
      <c r="I3345" s="2" t="str">
        <f>CLEAN("303")</f>
        <v>303</v>
      </c>
    </row>
    <row r="3346" spans="1:9" x14ac:dyDescent="0.35">
      <c r="A3346" s="2" t="str">
        <f>CLEAN("MILWAUKEE")</f>
        <v>MILWAUKEE</v>
      </c>
      <c r="B3346" s="2" t="str">
        <f>CLEAN("VILLAGE OF WEST MILWAUKEE")</f>
        <v>VILLAGE OF WEST MILWAUKEE</v>
      </c>
      <c r="C3346" s="2" t="s">
        <v>2939</v>
      </c>
      <c r="D3346" s="2" t="str">
        <f>CLEAN("2230-07-03")</f>
        <v>2230-07-03</v>
      </c>
      <c r="E3346" s="3" t="str">
        <f>CLEAN("W GREENFIELD AVENUE")</f>
        <v>W GREENFIELD AVENUE</v>
      </c>
      <c r="F3346" s="3" t="str">
        <f>CLEAN("S 56TH STREET TO MILLER PARK WAY")</f>
        <v>S 56TH STREET TO MILLER PARK WAY</v>
      </c>
      <c r="G3346" s="3" t="str">
        <f>CLEAN("PE/RECONDITION")</f>
        <v>PE/RECONDITION</v>
      </c>
      <c r="H3346" s="2" t="str">
        <f>CLEAN("LOC STR")</f>
        <v>LOC STR</v>
      </c>
      <c r="I3346" s="2" t="str">
        <f>CLEAN("206")</f>
        <v>206</v>
      </c>
    </row>
    <row r="3347" spans="1:9" x14ac:dyDescent="0.35">
      <c r="A3347" s="2" t="str">
        <f>CLEAN("MILWAUKEE")</f>
        <v>MILWAUKEE</v>
      </c>
      <c r="B3347" s="2" t="str">
        <f>CLEAN("VILLAGE OF WEST MILWAUKEE")</f>
        <v>VILLAGE OF WEST MILWAUKEE</v>
      </c>
      <c r="C3347" s="2" t="s">
        <v>2910</v>
      </c>
      <c r="D3347" s="2" t="str">
        <f>CLEAN("2995-03-05")</f>
        <v>2995-03-05</v>
      </c>
      <c r="E3347" s="3" t="str">
        <f>CLEAN("V W MILWAUKEE STREET LIGHTING")</f>
        <v>V W MILWAUKEE STREET LIGHTING</v>
      </c>
      <c r="F3347" s="3" t="str">
        <f>CLEAN("4 STREETS WITHIN THE VILLAGE")</f>
        <v>4 STREETS WITHIN THE VILLAGE</v>
      </c>
      <c r="G3347" s="3" t="str">
        <f>CLEAN("PE/PE STATE REVIEW ONLY")</f>
        <v>PE/PE STATE REVIEW ONLY</v>
      </c>
      <c r="H3347" s="2" t="str">
        <f>CLEAN("VAR HWY")</f>
        <v>VAR HWY</v>
      </c>
      <c r="I3347" s="2" t="str">
        <f>CLEAN("206")</f>
        <v>206</v>
      </c>
    </row>
    <row r="3348" spans="1:9" x14ac:dyDescent="0.35">
      <c r="A3348" s="2" t="str">
        <f>CLEAN("MILWAUKEE")</f>
        <v>MILWAUKEE</v>
      </c>
      <c r="B3348" s="2" t="str">
        <f>CLEAN("VILLAGE OF WEST MILWAUKEE")</f>
        <v>VILLAGE OF WEST MILWAUKEE</v>
      </c>
      <c r="C3348" s="2" t="s">
        <v>743</v>
      </c>
      <c r="D3348" s="2" t="str">
        <f>CLEAN("2230-07-73")</f>
        <v>2230-07-73</v>
      </c>
      <c r="E3348" s="3" t="str">
        <f>CLEAN("V WEST MILW W GREENFIELD AVENUE")</f>
        <v>V WEST MILW W GREENFIELD AVENUE</v>
      </c>
      <c r="F3348" s="3" t="str">
        <f>CLEAN("S 56TH STREET TO S 47TH STREET")</f>
        <v>S 56TH STREET TO S 47TH STREET</v>
      </c>
      <c r="G3348" s="3" t="str">
        <f>CLEAN("CONST/RECONDITION")</f>
        <v>CONST/RECONDITION</v>
      </c>
      <c r="H3348" s="2" t="str">
        <f>CLEAN("LOC STR")</f>
        <v>LOC STR</v>
      </c>
      <c r="I3348" s="2" t="str">
        <f>CLEAN("206")</f>
        <v>206</v>
      </c>
    </row>
    <row r="3349" spans="1:9" x14ac:dyDescent="0.35">
      <c r="A3349" s="2" t="str">
        <f>CLEAN("MILWAUKEE")</f>
        <v>MILWAUKEE</v>
      </c>
      <c r="B3349" s="2" t="str">
        <f>CLEAN("VILLAGE OF WEST MILWAUKEE")</f>
        <v>VILLAGE OF WEST MILWAUKEE</v>
      </c>
      <c r="C3349" s="2" t="s">
        <v>1072</v>
      </c>
      <c r="D3349" s="2" t="str">
        <f>CLEAN("2410-47-70")</f>
        <v>2410-47-70</v>
      </c>
      <c r="E3349" s="3" t="str">
        <f>CLEAN("IH 94 EAST WEST  NATIONAL AVENUE")</f>
        <v>IH 94 EAST WEST  NATIONAL AVENUE</v>
      </c>
      <c r="F3349" s="3" t="str">
        <f>CLEAN("70TH STREET TO MILLER PARK WAY")</f>
        <v>70TH STREET TO MILLER PARK WAY</v>
      </c>
      <c r="G3349" s="3" t="str">
        <f>CLEAN("CONST/TRAFFIC MITIGATION")</f>
        <v>CONST/TRAFFIC MITIGATION</v>
      </c>
      <c r="H3349" s="2" t="str">
        <f>CLEAN("STH 059")</f>
        <v>STH 059</v>
      </c>
      <c r="I3349" s="2" t="str">
        <f>CLEAN("301EW")</f>
        <v>301EW</v>
      </c>
    </row>
    <row r="3350" spans="1:9" x14ac:dyDescent="0.35">
      <c r="A3350" s="2" t="str">
        <f>CLEAN("MILWAUKEE")</f>
        <v>MILWAUKEE</v>
      </c>
      <c r="B3350" s="2" t="str">
        <f>CLEAN("VILLAGE OF WEST MILWAUKEE")</f>
        <v>VILLAGE OF WEST MILWAUKEE</v>
      </c>
      <c r="C3350" s="2" t="s">
        <v>694</v>
      </c>
      <c r="D3350" s="2" t="str">
        <f>CLEAN("2995-03-85")</f>
        <v>2995-03-85</v>
      </c>
      <c r="E3350" s="3" t="str">
        <f>CLEAN("V W MILWAUKEE STREET LIGHTING")</f>
        <v>V W MILWAUKEE STREET LIGHTING</v>
      </c>
      <c r="F3350" s="3" t="str">
        <f>CLEAN("4 STREETS WITHIN THE VILLAGE")</f>
        <v>4 STREETS WITHIN THE VILLAGE</v>
      </c>
      <c r="G3350" s="3" t="str">
        <f>CLEAN("CONST/PROCUREMENT")</f>
        <v>CONST/PROCUREMENT</v>
      </c>
      <c r="H3350" s="2" t="str">
        <f>CLEAN("VAR HWY")</f>
        <v>VAR HWY</v>
      </c>
      <c r="I3350" s="2" t="str">
        <f t="shared" ref="I3350:I3355" si="494">CLEAN("206")</f>
        <v>206</v>
      </c>
    </row>
    <row r="3351" spans="1:9" x14ac:dyDescent="0.35">
      <c r="A3351" s="2" t="str">
        <f>CLEAN("LA CROSSE")</f>
        <v>LA CROSSE</v>
      </c>
      <c r="B3351" s="2" t="str">
        <f>CLEAN("VILLAGE OF WEST SALEM")</f>
        <v>VILLAGE OF WEST SALEM</v>
      </c>
      <c r="C3351" s="2" t="s">
        <v>2232</v>
      </c>
      <c r="D3351" s="2" t="str">
        <f>CLEAN("5991-00-21")</f>
        <v>5991-00-21</v>
      </c>
      <c r="E3351" s="3" t="str">
        <f>CLEAN("V WEST SALEM  CITY LOOP DRIVE")</f>
        <v>V WEST SALEM  CITY LOOP DRIVE</v>
      </c>
      <c r="F3351" s="3" t="str">
        <f>CLEAN("E JEFFERSON STREET TO NESHONOC RD")</f>
        <v>E JEFFERSON STREET TO NESHONOC RD</v>
      </c>
      <c r="G3351" s="3" t="str">
        <f>CLEAN("DESIGN/PLAN CHECK REVIEW/RESURFACE")</f>
        <v>DESIGN/PLAN CHECK REVIEW/RESURFACE</v>
      </c>
      <c r="H3351" s="2" t="str">
        <f t="shared" ref="H3351:H3358" si="495">CLEAN("LOC STR")</f>
        <v>LOC STR</v>
      </c>
      <c r="I3351" s="2" t="str">
        <f t="shared" si="494"/>
        <v>206</v>
      </c>
    </row>
    <row r="3352" spans="1:9" x14ac:dyDescent="0.35">
      <c r="A3352" s="2" t="str">
        <f>CLEAN("LA CROSSE")</f>
        <v>LA CROSSE</v>
      </c>
      <c r="B3352" s="2" t="str">
        <f>CLEAN("VILLAGE OF WEST SALEM")</f>
        <v>VILLAGE OF WEST SALEM</v>
      </c>
      <c r="C3352" s="2" t="s">
        <v>294</v>
      </c>
      <c r="D3352" s="2" t="str">
        <f>CLEAN("5991-00-22")</f>
        <v>5991-00-22</v>
      </c>
      <c r="E3352" s="3" t="str">
        <f>CLEAN("V WEST SALEM  CITY LOOP DRIVE")</f>
        <v>V WEST SALEM  CITY LOOP DRIVE</v>
      </c>
      <c r="F3352" s="3" t="str">
        <f>CLEAN("E JEFFERSON STREET TO NESHONOC RD")</f>
        <v>E JEFFERSON STREET TO NESHONOC RD</v>
      </c>
      <c r="G3352" s="3" t="str">
        <f>CLEAN("CONST OPS/RESURFACE")</f>
        <v>CONST OPS/RESURFACE</v>
      </c>
      <c r="H3352" s="2" t="str">
        <f t="shared" si="495"/>
        <v>LOC STR</v>
      </c>
      <c r="I3352" s="2" t="str">
        <f t="shared" si="494"/>
        <v>206</v>
      </c>
    </row>
    <row r="3353" spans="1:9" x14ac:dyDescent="0.35">
      <c r="A3353" s="2" t="str">
        <f>CLEAN("LA CROSSE")</f>
        <v>LA CROSSE</v>
      </c>
      <c r="B3353" s="2" t="str">
        <f>CLEAN("VILLAGE OF WEST SALEM")</f>
        <v>VILLAGE OF WEST SALEM</v>
      </c>
      <c r="C3353" s="2" t="s">
        <v>2231</v>
      </c>
      <c r="D3353" s="2" t="str">
        <f>CLEAN("5991-00-25")</f>
        <v>5991-00-25</v>
      </c>
      <c r="E3353" s="3" t="str">
        <f>CLEAN("VILLAGE WEST SALEM  MARK STREET")</f>
        <v>VILLAGE WEST SALEM  MARK STREET</v>
      </c>
      <c r="F3353" s="3" t="str">
        <f>CLEAN("E GARLAND STREET TO EAST AVENUE")</f>
        <v>E GARLAND STREET TO EAST AVENUE</v>
      </c>
      <c r="G3353" s="3" t="str">
        <f>CLEAN("DESIGN/PLAN CHECK REVIEW/RESURFACE")</f>
        <v>DESIGN/PLAN CHECK REVIEW/RESURFACE</v>
      </c>
      <c r="H3353" s="2" t="str">
        <f t="shared" si="495"/>
        <v>LOC STR</v>
      </c>
      <c r="I3353" s="2" t="str">
        <f t="shared" si="494"/>
        <v>206</v>
      </c>
    </row>
    <row r="3354" spans="1:9" x14ac:dyDescent="0.35">
      <c r="A3354" s="2" t="str">
        <f>CLEAN("LA CROSSE")</f>
        <v>LA CROSSE</v>
      </c>
      <c r="B3354" s="2" t="str">
        <f>CLEAN("VILLAGE OF WEST SALEM")</f>
        <v>VILLAGE OF WEST SALEM</v>
      </c>
      <c r="C3354" s="2" t="s">
        <v>3423</v>
      </c>
      <c r="D3354" s="2" t="str">
        <f>CLEAN("5991-00-27")</f>
        <v>5991-00-27</v>
      </c>
      <c r="E3354" s="3" t="str">
        <f>CLEAN("VILLAGE WEST SALEM  MARK STREET")</f>
        <v>VILLAGE WEST SALEM  MARK STREET</v>
      </c>
      <c r="F3354" s="3" t="str">
        <f>CLEAN("E GARLAND STREET TO EAST AVENUE")</f>
        <v>E GARLAND STREET TO EAST AVENUE</v>
      </c>
      <c r="G3354" s="3" t="str">
        <f>CLEAN("UTL OPS/WATER MAIN SANITARY SEWER")</f>
        <v>UTL OPS/WATER MAIN SANITARY SEWER</v>
      </c>
      <c r="H3354" s="2" t="str">
        <f t="shared" si="495"/>
        <v>LOC STR</v>
      </c>
      <c r="I3354" s="2" t="str">
        <f t="shared" si="494"/>
        <v>206</v>
      </c>
    </row>
    <row r="3355" spans="1:9" x14ac:dyDescent="0.35">
      <c r="A3355" s="2" t="str">
        <f>CLEAN("LA CROSSE")</f>
        <v>LA CROSSE</v>
      </c>
      <c r="B3355" s="2" t="str">
        <f>CLEAN("VILLAGE OF WEST SALEM")</f>
        <v>VILLAGE OF WEST SALEM</v>
      </c>
      <c r="C3355" s="2" t="s">
        <v>2142</v>
      </c>
      <c r="D3355" s="2" t="str">
        <f>CLEAN("5991-00-30")</f>
        <v>5991-00-30</v>
      </c>
      <c r="E3355" s="3" t="str">
        <f>CLEAN("V OF WEST SALEM  LEONARD STREET")</f>
        <v>V OF WEST SALEM  LEONARD STREET</v>
      </c>
      <c r="F3355" s="3" t="str">
        <f>CLEAN("ELM STREET TO HAMILTION STREET")</f>
        <v>ELM STREET TO HAMILTION STREET</v>
      </c>
      <c r="G3355" s="3" t="str">
        <f>CLEAN("DESIGN/PLAN CHECK REVIEW/PVRPLA")</f>
        <v>DESIGN/PLAN CHECK REVIEW/PVRPLA</v>
      </c>
      <c r="H3355" s="2" t="str">
        <f t="shared" si="495"/>
        <v>LOC STR</v>
      </c>
      <c r="I3355" s="2" t="str">
        <f t="shared" si="494"/>
        <v>206</v>
      </c>
    </row>
    <row r="3356" spans="1:9" x14ac:dyDescent="0.35">
      <c r="A3356" s="2" t="str">
        <f>CLEAN("MARQUETTE")</f>
        <v>MARQUETTE</v>
      </c>
      <c r="B3356" s="2" t="str">
        <f>CLEAN("VILLAGE OF WESTFIELD")</f>
        <v>VILLAGE OF WESTFIELD</v>
      </c>
      <c r="C3356" s="2" t="s">
        <v>2267</v>
      </c>
      <c r="D3356" s="2" t="str">
        <f>CLEAN("6744-02-00")</f>
        <v>6744-02-00</v>
      </c>
      <c r="E3356" s="3" t="str">
        <f>CLEAN("V WESTFIELD  MAIN STREET")</f>
        <v>V WESTFIELD  MAIN STREET</v>
      </c>
      <c r="F3356" s="3" t="str">
        <f>CLEAN("WESTFIELD CREEK BRIDGE B-39-0977")</f>
        <v>WESTFIELD CREEK BRIDGE B-39-0977</v>
      </c>
      <c r="G3356" s="3" t="str">
        <f>CLEAN("DESIGN/REPLACEMENT")</f>
        <v>DESIGN/REPLACEMENT</v>
      </c>
      <c r="H3356" s="2" t="str">
        <f t="shared" si="495"/>
        <v>LOC STR</v>
      </c>
      <c r="I3356" s="2" t="str">
        <f>CLEAN("205")</f>
        <v>205</v>
      </c>
    </row>
    <row r="3357" spans="1:9" x14ac:dyDescent="0.35">
      <c r="A3357" s="2" t="str">
        <f>CLEAN("MARATHON")</f>
        <v>MARATHON</v>
      </c>
      <c r="B3357" s="2" t="str">
        <f>CLEAN("VILLAGE OF WESTON")</f>
        <v>VILLAGE OF WESTON</v>
      </c>
      <c r="C3357" s="2" t="s">
        <v>1712</v>
      </c>
      <c r="D3357" s="2" t="str">
        <f>CLEAN("6999-13-03")</f>
        <v>6999-13-03</v>
      </c>
      <c r="E3357" s="3" t="str">
        <f>CLEAN("V WESTON  ROSS AVENUE")</f>
        <v>V WESTON  ROSS AVENUE</v>
      </c>
      <c r="F3357" s="3" t="str">
        <f>CLEAN("METRO DRIVE TO ALDERSON STREET")</f>
        <v>METRO DRIVE TO ALDERSON STREET</v>
      </c>
      <c r="G3357" s="3" t="str">
        <f>CLEAN("DESIGN OVERSITE/RECONSTRUCT")</f>
        <v>DESIGN OVERSITE/RECONSTRUCT</v>
      </c>
      <c r="H3357" s="2" t="str">
        <f t="shared" si="495"/>
        <v>LOC STR</v>
      </c>
      <c r="I3357" s="2" t="str">
        <f>CLEAN("206")</f>
        <v>206</v>
      </c>
    </row>
    <row r="3358" spans="1:9" x14ac:dyDescent="0.35">
      <c r="A3358" s="2" t="str">
        <f>CLEAN("MARATHON")</f>
        <v>MARATHON</v>
      </c>
      <c r="B3358" s="2" t="str">
        <f>CLEAN("VILLAGE OF WESTON")</f>
        <v>VILLAGE OF WESTON</v>
      </c>
      <c r="C3358" s="2" t="s">
        <v>1697</v>
      </c>
      <c r="D3358" s="2" t="str">
        <f>CLEAN("6999-13-04")</f>
        <v>6999-13-04</v>
      </c>
      <c r="E3358" s="3" t="str">
        <f>CLEAN("V WESTON  ROSS AVENUE")</f>
        <v>V WESTON  ROSS AVENUE</v>
      </c>
      <c r="F3358" s="3" t="str">
        <f>CLEAN("RIVER BEND ROAD TO PAULS AVENUE")</f>
        <v>RIVER BEND ROAD TO PAULS AVENUE</v>
      </c>
      <c r="G3358" s="3" t="str">
        <f>CLEAN("DESIGN OVERSITE")</f>
        <v>DESIGN OVERSITE</v>
      </c>
      <c r="H3358" s="2" t="str">
        <f t="shared" si="495"/>
        <v>LOC STR</v>
      </c>
      <c r="I3358" s="2" t="str">
        <f>CLEAN("206")</f>
        <v>206</v>
      </c>
    </row>
    <row r="3359" spans="1:9" x14ac:dyDescent="0.35">
      <c r="A3359" s="2" t="str">
        <f>CLEAN("MARATHON")</f>
        <v>MARATHON</v>
      </c>
      <c r="B3359" s="2" t="str">
        <f>CLEAN("VILLAGE OF WESTON")</f>
        <v>VILLAGE OF WESTON</v>
      </c>
      <c r="C3359" s="2" t="s">
        <v>2033</v>
      </c>
      <c r="D3359" s="2" t="str">
        <f>CLEAN("6999-17-01")</f>
        <v>6999-17-01</v>
      </c>
      <c r="E3359" s="3" t="str">
        <f>CLEAN("V WESTON  BIKE/PED MASTER PLAN")</f>
        <v>V WESTON  BIKE/PED MASTER PLAN</v>
      </c>
      <c r="F3359" s="3" t="str">
        <f>CLEAN("WESTON VARIOUS MUNICIPAL LIMITS")</f>
        <v>WESTON VARIOUS MUNICIPAL LIMITS</v>
      </c>
      <c r="G3359" s="3" t="str">
        <f>CLEAN("DESIGN/MASTER PLAN")</f>
        <v>DESIGN/MASTER PLAN</v>
      </c>
      <c r="H3359" s="2" t="str">
        <f>CLEAN("NON HWY")</f>
        <v>NON HWY</v>
      </c>
      <c r="I3359" s="2" t="str">
        <f>CLEAN("290")</f>
        <v>290</v>
      </c>
    </row>
    <row r="3360" spans="1:9" x14ac:dyDescent="0.35">
      <c r="A3360" s="2" t="str">
        <f t="shared" ref="A3360:A3365" si="496">CLEAN("MILWAUKEE")</f>
        <v>MILWAUKEE</v>
      </c>
      <c r="B3360" s="2" t="str">
        <f t="shared" ref="B3360:B3365" si="497">CLEAN("VILLAGE OF WHITEFISH BAY")</f>
        <v>VILLAGE OF WHITEFISH BAY</v>
      </c>
      <c r="C3360" s="2" t="s">
        <v>2862</v>
      </c>
      <c r="D3360" s="2" t="str">
        <f>CLEAN("2545-05-01")</f>
        <v>2545-05-01</v>
      </c>
      <c r="E3360" s="3" t="str">
        <f>CLEAN("V WHITEFISH BAY  HAMPTON AVE")</f>
        <v>V WHITEFISH BAY  HAMPTON AVE</v>
      </c>
      <c r="F3360" s="3" t="str">
        <f>CLEAN("INTERSECTION WITH SANTA MONICA BLVD")</f>
        <v>INTERSECTION WITH SANTA MONICA BLVD</v>
      </c>
      <c r="G3360" s="3" t="str">
        <f>CLEAN("PE/FULL PSE/MISC")</f>
        <v>PE/FULL PSE/MISC</v>
      </c>
      <c r="H3360" s="2" t="str">
        <f>CLEAN("LOC STR")</f>
        <v>LOC STR</v>
      </c>
      <c r="I3360" s="2" t="str">
        <f>CLEAN("206")</f>
        <v>206</v>
      </c>
    </row>
    <row r="3361" spans="1:9" x14ac:dyDescent="0.35">
      <c r="A3361" s="2" t="str">
        <f t="shared" si="496"/>
        <v>MILWAUKEE</v>
      </c>
      <c r="B3361" s="2" t="str">
        <f t="shared" si="497"/>
        <v>VILLAGE OF WHITEFISH BAY</v>
      </c>
      <c r="C3361" s="2" t="s">
        <v>2868</v>
      </c>
      <c r="D3361" s="2" t="str">
        <f>CLEAN("2998-04-05")</f>
        <v>2998-04-05</v>
      </c>
      <c r="E3361" s="3" t="str">
        <f>CLEAN("V WHITEFISH BAY  SCHOOL ZONE SAFETY")</f>
        <v>V WHITEFISH BAY  SCHOOL ZONE SAFETY</v>
      </c>
      <c r="F3361" s="3" t="str">
        <f>CLEAN("VARIOUS VILLAGE LOCATIONS")</f>
        <v>VARIOUS VILLAGE LOCATIONS</v>
      </c>
      <c r="G3361" s="3" t="str">
        <f>CLEAN("PE/FULL PSE/MISC")</f>
        <v>PE/FULL PSE/MISC</v>
      </c>
      <c r="H3361" s="2" t="str">
        <f>CLEAN("NON HWY")</f>
        <v>NON HWY</v>
      </c>
      <c r="I3361" s="2" t="str">
        <f>CLEAN("290")</f>
        <v>290</v>
      </c>
    </row>
    <row r="3362" spans="1:9" x14ac:dyDescent="0.35">
      <c r="A3362" s="2" t="str">
        <f t="shared" si="496"/>
        <v>MILWAUKEE</v>
      </c>
      <c r="B3362" s="2" t="str">
        <f t="shared" si="497"/>
        <v>VILLAGE OF WHITEFISH BAY</v>
      </c>
      <c r="C3362" s="2" t="s">
        <v>3016</v>
      </c>
      <c r="D3362" s="2" t="str">
        <f>CLEAN("2998-02-00")</f>
        <v>2998-02-00</v>
      </c>
      <c r="E3362" s="3" t="str">
        <f>CLEAN("BIKE PEDESTRIAN SAFETY STUDY")</f>
        <v>BIKE PEDESTRIAN SAFETY STUDY</v>
      </c>
      <c r="F3362" s="3" t="str">
        <f>CLEAN("VILLAGE WIDE - WHITEFISH BAY")</f>
        <v>VILLAGE WIDE - WHITEFISH BAY</v>
      </c>
      <c r="G3362" s="3" t="str">
        <f>CLEAN("PE/STUDY")</f>
        <v>PE/STUDY</v>
      </c>
      <c r="H3362" s="2" t="str">
        <f>CLEAN("NON HWY")</f>
        <v>NON HWY</v>
      </c>
      <c r="I3362" s="2" t="str">
        <f>CLEAN("290")</f>
        <v>290</v>
      </c>
    </row>
    <row r="3363" spans="1:9" x14ac:dyDescent="0.35">
      <c r="A3363" s="2" t="str">
        <f t="shared" si="496"/>
        <v>MILWAUKEE</v>
      </c>
      <c r="B3363" s="2" t="str">
        <f t="shared" si="497"/>
        <v>VILLAGE OF WHITEFISH BAY</v>
      </c>
      <c r="C3363" s="2" t="s">
        <v>1049</v>
      </c>
      <c r="D3363" s="2" t="str">
        <f>CLEAN("2998-04-75")</f>
        <v>2998-04-75</v>
      </c>
      <c r="E3363" s="3" t="str">
        <f>CLEAN("V WHITEFISH BAY  SCHOOL ZONE SAFETY")</f>
        <v>V WHITEFISH BAY  SCHOOL ZONE SAFETY</v>
      </c>
      <c r="F3363" s="3" t="str">
        <f>CLEAN("VARIOUS VILLAGE LOCATIONS")</f>
        <v>VARIOUS VILLAGE LOCATIONS</v>
      </c>
      <c r="G3363" s="3" t="str">
        <f>CLEAN("CONST/SIGNING &amp; SAFETY ENHANCEMENTS")</f>
        <v>CONST/SIGNING &amp; SAFETY ENHANCEMENTS</v>
      </c>
      <c r="H3363" s="2" t="str">
        <f>CLEAN("NON HWY")</f>
        <v>NON HWY</v>
      </c>
      <c r="I3363" s="2" t="str">
        <f>CLEAN("290")</f>
        <v>290</v>
      </c>
    </row>
    <row r="3364" spans="1:9" x14ac:dyDescent="0.35">
      <c r="A3364" s="2" t="str">
        <f t="shared" si="496"/>
        <v>MILWAUKEE</v>
      </c>
      <c r="B3364" s="2" t="str">
        <f t="shared" si="497"/>
        <v>VILLAGE OF WHITEFISH BAY</v>
      </c>
      <c r="C3364" s="2" t="s">
        <v>2970</v>
      </c>
      <c r="D3364" s="2" t="str">
        <f>CLEAN("3700-00-01")</f>
        <v>3700-00-01</v>
      </c>
      <c r="E3364" s="3" t="str">
        <f>CLEAN("VILLAGE OF WHITEFISH BAY-LAKE DR")</f>
        <v>VILLAGE OF WHITEFISH BAY-LAKE DR</v>
      </c>
      <c r="F3364" s="3" t="str">
        <f>CLEAN("INTERSECT SILVERSPRING/MARLBOROUGH")</f>
        <v>INTERSECT SILVERSPRING/MARLBOROUGH</v>
      </c>
      <c r="G3364" s="3" t="str">
        <f>CLEAN("PE/STAND ALONE PROJECT ID SE2302L")</f>
        <v>PE/STAND ALONE PROJECT ID SE2302L</v>
      </c>
      <c r="H3364" s="2" t="str">
        <f>CLEAN("STH 032")</f>
        <v>STH 032</v>
      </c>
      <c r="I3364" s="2" t="str">
        <f>CLEAN("305")</f>
        <v>305</v>
      </c>
    </row>
    <row r="3365" spans="1:9" x14ac:dyDescent="0.35">
      <c r="A3365" s="2" t="str">
        <f t="shared" si="496"/>
        <v>MILWAUKEE</v>
      </c>
      <c r="B3365" s="2" t="str">
        <f t="shared" si="497"/>
        <v>VILLAGE OF WHITEFISH BAY</v>
      </c>
      <c r="C3365" s="2" t="s">
        <v>1055</v>
      </c>
      <c r="D3365" s="2" t="str">
        <f>CLEAN("3700-00-71")</f>
        <v>3700-00-71</v>
      </c>
      <c r="E3365" s="3" t="str">
        <f>CLEAN("VILLAGE OF WHITEFISH BAY-LAKE DR")</f>
        <v>VILLAGE OF WHITEFISH BAY-LAKE DR</v>
      </c>
      <c r="F3365" s="3" t="str">
        <f>CLEAN("INTERSECT SILVERSPRING/MARLBOROUGH")</f>
        <v>INTERSECT SILVERSPRING/MARLBOROUGH</v>
      </c>
      <c r="G3365" s="3" t="str">
        <f>CLEAN("CONST/STAND ALONE PROJ ID SE2302L")</f>
        <v>CONST/STAND ALONE PROJ ID SE2302L</v>
      </c>
      <c r="H3365" s="2" t="str">
        <f>CLEAN("STH 032")</f>
        <v>STH 032</v>
      </c>
      <c r="I3365" s="2" t="str">
        <f>CLEAN("305")</f>
        <v>305</v>
      </c>
    </row>
    <row r="3366" spans="1:9" x14ac:dyDescent="0.35">
      <c r="A3366" s="2" t="str">
        <f>CLEAN("WALWORTH")</f>
        <v>WALWORTH</v>
      </c>
      <c r="B3366" s="2" t="str">
        <f>CLEAN("VILLAGE OF WILLIAMS BAY")</f>
        <v>VILLAGE OF WILLIAMS BAY</v>
      </c>
      <c r="C3366" s="2" t="s">
        <v>967</v>
      </c>
      <c r="D3366" s="2" t="str">
        <f>CLEAN("3325-06-71")</f>
        <v>3325-06-71</v>
      </c>
      <c r="E3366" s="3" t="str">
        <f>CLEAN("WALWORTH - ELKHORN")</f>
        <v>WALWORTH - ELKHORN</v>
      </c>
      <c r="F3366" s="3" t="str">
        <f>CLEAN("GENEVA ST TO GLENWOOD DR")</f>
        <v>GENEVA ST TO GLENWOOD DR</v>
      </c>
      <c r="G3366" s="3" t="str">
        <f>CLEAN("CONST/RESURFACE")</f>
        <v>CONST/RESURFACE</v>
      </c>
      <c r="H3366" s="2" t="str">
        <f>CLEAN("STH 067")</f>
        <v>STH 067</v>
      </c>
      <c r="I3366" s="2" t="str">
        <f>CLEAN("303")</f>
        <v>303</v>
      </c>
    </row>
    <row r="3367" spans="1:9" x14ac:dyDescent="0.35">
      <c r="A3367" s="2" t="str">
        <f>CLEAN("WALWORTH")</f>
        <v>WALWORTH</v>
      </c>
      <c r="B3367" s="2" t="str">
        <f>CLEAN("VILLAGE OF WILLIAMS BAY")</f>
        <v>VILLAGE OF WILLIAMS BAY</v>
      </c>
      <c r="C3367" s="2" t="s">
        <v>1091</v>
      </c>
      <c r="D3367" s="2" t="str">
        <f>CLEAN("3325-06-72")</f>
        <v>3325-06-72</v>
      </c>
      <c r="E3367" s="3" t="str">
        <f>CLEAN("WALWORTH - ELKHORN")</f>
        <v>WALWORTH - ELKHORN</v>
      </c>
      <c r="F3367" s="3" t="str">
        <f>CLEAN("GENEVA ST TO GLENWOOD DR")</f>
        <v>GENEVA ST TO GLENWOOD DR</v>
      </c>
      <c r="G3367" s="3" t="str">
        <f>CLEAN("CONST/UTILITY")</f>
        <v>CONST/UTILITY</v>
      </c>
      <c r="H3367" s="2" t="str">
        <f>CLEAN("STH 067")</f>
        <v>STH 067</v>
      </c>
      <c r="I3367" s="2" t="str">
        <f>CLEAN("303")</f>
        <v>303</v>
      </c>
    </row>
    <row r="3368" spans="1:9" x14ac:dyDescent="0.35">
      <c r="A3368" s="2" t="str">
        <f>CLEAN("DANE")</f>
        <v>DANE</v>
      </c>
      <c r="B3368" s="2" t="str">
        <f>CLEAN("VILLAGE OF WINDSOR")</f>
        <v>VILLAGE OF WINDSOR</v>
      </c>
      <c r="C3368" s="2" t="s">
        <v>1827</v>
      </c>
      <c r="D3368" s="2" t="str">
        <f>CLEAN("6992-00-05")</f>
        <v>6992-00-05</v>
      </c>
      <c r="E3368" s="3" t="str">
        <f>CLEAN("VILLAGE OF WINDSOR  WINDSOR ROAD")</f>
        <v>VILLAGE OF WINDSOR  WINDSOR ROAD</v>
      </c>
      <c r="F3368" s="3" t="str">
        <f>CLEAN("YAHARA RIVER BRIDGE  B-13-0234")</f>
        <v>YAHARA RIVER BRIDGE  B-13-0234</v>
      </c>
      <c r="G3368" s="3" t="str">
        <f>CLEAN("DESIGN/BRIDGE REPLACEMENT")</f>
        <v>DESIGN/BRIDGE REPLACEMENT</v>
      </c>
      <c r="H3368" s="2" t="str">
        <f>CLEAN("LOC STR")</f>
        <v>LOC STR</v>
      </c>
      <c r="I3368" s="2" t="str">
        <f>CLEAN("205")</f>
        <v>205</v>
      </c>
    </row>
    <row r="3369" spans="1:9" x14ac:dyDescent="0.35">
      <c r="A3369" s="2" t="str">
        <f>CLEAN("DANE")</f>
        <v>DANE</v>
      </c>
      <c r="B3369" s="2" t="str">
        <f>CLEAN("VILLAGE OF WINDSOR")</f>
        <v>VILLAGE OF WINDSOR</v>
      </c>
      <c r="C3369" s="2" t="s">
        <v>2229</v>
      </c>
      <c r="D3369" s="2" t="str">
        <f>CLEAN("6992-00-16")</f>
        <v>6992-00-16</v>
      </c>
      <c r="E3369" s="3" t="str">
        <f>CLEAN("V WINDSOR  WINDSOR RD SIDEPATH")</f>
        <v>V WINDSOR  WINDSOR RD SIDEPATH</v>
      </c>
      <c r="F3369" s="3" t="str">
        <f>CLEAN("N. TOWNE RD TO WINDSOR RIDGE LANE")</f>
        <v>N. TOWNE RD TO WINDSOR RIDGE LANE</v>
      </c>
      <c r="G3369" s="3" t="str">
        <f>CLEAN("DESIGN/PLAN CHECK REVIEW/RECSTE")</f>
        <v>DESIGN/PLAN CHECK REVIEW/RECSTE</v>
      </c>
      <c r="H3369" s="2" t="str">
        <f>CLEAN("LOC STR")</f>
        <v>LOC STR</v>
      </c>
      <c r="I3369" s="2" t="str">
        <f>CLEAN("206")</f>
        <v>206</v>
      </c>
    </row>
    <row r="3370" spans="1:9" x14ac:dyDescent="0.35">
      <c r="A3370" s="2" t="str">
        <f>CLEAN("DANE")</f>
        <v>DANE</v>
      </c>
      <c r="B3370" s="2" t="str">
        <f>CLEAN("VILLAGE OF WINDSOR")</f>
        <v>VILLAGE OF WINDSOR</v>
      </c>
      <c r="C3370" s="2" t="s">
        <v>2136</v>
      </c>
      <c r="D3370" s="2" t="str">
        <f>CLEAN("6992-00-20")</f>
        <v>6992-00-20</v>
      </c>
      <c r="E3370" s="3" t="str">
        <f>CLEAN("VIL OF WINDSOR  WINDSOR ROAD")</f>
        <v>VIL OF WINDSOR  WINDSOR ROAD</v>
      </c>
      <c r="F3370" s="3" t="str">
        <f>CLEAN("CHARILE GRIMM ROAD TO CTH CV")</f>
        <v>CHARILE GRIMM ROAD TO CTH CV</v>
      </c>
      <c r="G3370" s="3" t="str">
        <f>CLEAN("DESIGN/PLAN CHECK REVIEW/PVRPLA")</f>
        <v>DESIGN/PLAN CHECK REVIEW/PVRPLA</v>
      </c>
      <c r="H3370" s="2" t="str">
        <f>CLEAN("LOC STR")</f>
        <v>LOC STR</v>
      </c>
      <c r="I3370" s="2" t="str">
        <f>CLEAN("206")</f>
        <v>206</v>
      </c>
    </row>
    <row r="3371" spans="1:9" x14ac:dyDescent="0.35">
      <c r="A3371" s="2" t="str">
        <f>CLEAN("DANE")</f>
        <v>DANE</v>
      </c>
      <c r="B3371" s="2" t="str">
        <f>CLEAN("VILLAGE OF WINDSOR")</f>
        <v>VILLAGE OF WINDSOR</v>
      </c>
      <c r="C3371" s="2" t="s">
        <v>188</v>
      </c>
      <c r="D3371" s="2" t="str">
        <f>CLEAN("6992-00-21")</f>
        <v>6992-00-21</v>
      </c>
      <c r="E3371" s="3" t="str">
        <f>CLEAN("VILLAGE OF WINDSOR  WINDSOR")</f>
        <v>VILLAGE OF WINDSOR  WINDSOR</v>
      </c>
      <c r="F3371" s="3" t="str">
        <f>CLEAN("CHARLIE GRIMM ROAD TO CTH CV")</f>
        <v>CHARLIE GRIMM ROAD TO CTH CV</v>
      </c>
      <c r="G3371" s="3" t="str">
        <f>CLEAN("CONST OPS/PAVEMENT REPLACEMENT")</f>
        <v>CONST OPS/PAVEMENT REPLACEMENT</v>
      </c>
      <c r="H3371" s="2" t="str">
        <f>CLEAN("LOC STR")</f>
        <v>LOC STR</v>
      </c>
      <c r="I3371" s="2" t="str">
        <f>CLEAN("206")</f>
        <v>206</v>
      </c>
    </row>
    <row r="3372" spans="1:9" x14ac:dyDescent="0.35">
      <c r="A3372" s="2" t="str">
        <f>CLEAN("DANE")</f>
        <v>DANE</v>
      </c>
      <c r="B3372" s="2" t="str">
        <f>CLEAN("VILLAGE OF WINDSOR")</f>
        <v>VILLAGE OF WINDSOR</v>
      </c>
      <c r="C3372" s="2" t="s">
        <v>474</v>
      </c>
      <c r="D3372" s="2" t="str">
        <f>CLEAN("6992-00-75")</f>
        <v>6992-00-75</v>
      </c>
      <c r="E3372" s="3" t="str">
        <f>CLEAN("VILLAGE OF WINDSOR  WINDSOR ROAD")</f>
        <v>VILLAGE OF WINDSOR  WINDSOR ROAD</v>
      </c>
      <c r="F3372" s="3" t="str">
        <f>CLEAN("YAHARA RIVER BRIDGE  B-13-0890")</f>
        <v>YAHARA RIVER BRIDGE  B-13-0890</v>
      </c>
      <c r="G3372" s="3" t="str">
        <f>CLEAN("CONST/BRIDGE REPLACEMENT")</f>
        <v>CONST/BRIDGE REPLACEMENT</v>
      </c>
      <c r="H3372" s="2" t="str">
        <f>CLEAN("LOC STR")</f>
        <v>LOC STR</v>
      </c>
      <c r="I3372" s="2" t="str">
        <f>CLEAN("205")</f>
        <v>205</v>
      </c>
    </row>
    <row r="3373" spans="1:9" x14ac:dyDescent="0.35">
      <c r="A3373" s="2" t="str">
        <f>CLEAN("SHAWANO")</f>
        <v>SHAWANO</v>
      </c>
      <c r="B3373" s="2" t="str">
        <f>CLEAN("VILLAGE OF WITTENBERG")</f>
        <v>VILLAGE OF WITTENBERG</v>
      </c>
      <c r="C3373" s="2" t="s">
        <v>1701</v>
      </c>
      <c r="D3373" s="2" t="str">
        <f>CLEAN("6107-03-00")</f>
        <v>6107-03-00</v>
      </c>
      <c r="E3373" s="3" t="str">
        <f>CLEAN("V WITTENBERG SIDEWALK IMPROVEMENTS")</f>
        <v>V WITTENBERG SIDEWALK IMPROVEMENTS</v>
      </c>
      <c r="F3373" s="3" t="str">
        <f>CLEAN("SEVEN VARIOUS SIDEWALK SEGMENTS")</f>
        <v>SEVEN VARIOUS SIDEWALK SEGMENTS</v>
      </c>
      <c r="G3373" s="3" t="str">
        <f>CLEAN("DESIGN OVERSITE/MISC")</f>
        <v>DESIGN OVERSITE/MISC</v>
      </c>
      <c r="H3373" s="2" t="str">
        <f>CLEAN("NON HWY")</f>
        <v>NON HWY</v>
      </c>
      <c r="I3373" s="2" t="str">
        <f>CLEAN("290")</f>
        <v>290</v>
      </c>
    </row>
    <row r="3374" spans="1:9" x14ac:dyDescent="0.35">
      <c r="A3374" s="2" t="str">
        <f>CLEAN("SHAWANO")</f>
        <v>SHAWANO</v>
      </c>
      <c r="B3374" s="2" t="str">
        <f>CLEAN("VILLAGE OF WITTENBERG")</f>
        <v>VILLAGE OF WITTENBERG</v>
      </c>
      <c r="C3374" s="2" t="s">
        <v>633</v>
      </c>
      <c r="D3374" s="2" t="str">
        <f>CLEAN("6107-03-70")</f>
        <v>6107-03-70</v>
      </c>
      <c r="E3374" s="3" t="str">
        <f>CLEAN("V WITTENBERG SIDEWALK IMPROVEMENTS")</f>
        <v>V WITTENBERG SIDEWALK IMPROVEMENTS</v>
      </c>
      <c r="F3374" s="3" t="str">
        <f>CLEAN("SEVEN VARIOUS SIDEWALK SEGMENTS")</f>
        <v>SEVEN VARIOUS SIDEWALK SEGMENTS</v>
      </c>
      <c r="G3374" s="3" t="str">
        <f>CLEAN("CONST/MISC")</f>
        <v>CONST/MISC</v>
      </c>
      <c r="H3374" s="2" t="str">
        <f>CLEAN("NON HWY")</f>
        <v>NON HWY</v>
      </c>
      <c r="I3374" s="2" t="str">
        <f>CLEAN("290")</f>
        <v>290</v>
      </c>
    </row>
    <row r="3375" spans="1:9" x14ac:dyDescent="0.35">
      <c r="A3375" s="2" t="str">
        <f>CLEAN("OUTAGAMIE")</f>
        <v>OUTAGAMIE</v>
      </c>
      <c r="B3375" s="2" t="str">
        <f t="shared" ref="B3375:B3382" si="498">CLEAN("VILLAGE OF WRIGHTSTOWN")</f>
        <v>VILLAGE OF WRIGHTSTOWN</v>
      </c>
      <c r="C3375" s="2" t="s">
        <v>855</v>
      </c>
      <c r="D3375" s="2" t="str">
        <f>CLEAN("1130-67-72")</f>
        <v>1130-67-72</v>
      </c>
      <c r="E3375" s="3" t="str">
        <f>CLEAN("APPLETON - DE PERE")</f>
        <v>APPLETON - DE PERE</v>
      </c>
      <c r="F3375" s="3" t="str">
        <f>CLEAN("I-41 MAINLINE  CTH JJ - MINERS WAY")</f>
        <v>I-41 MAINLINE  CTH JJ - MINERS WAY</v>
      </c>
      <c r="G3375" s="3" t="str">
        <f>CLEAN("CONST/RECSTE MNLINE CTH JJ - MINERS")</f>
        <v>CONST/RECSTE MNLINE CTH JJ - MINERS</v>
      </c>
      <c r="H3375" s="2" t="str">
        <f>CLEAN("IH  041")</f>
        <v>IH  041</v>
      </c>
      <c r="I3375" s="2" t="str">
        <f>CLEAN("302")</f>
        <v>302</v>
      </c>
    </row>
    <row r="3376" spans="1:9" x14ac:dyDescent="0.35">
      <c r="A3376" s="2" t="str">
        <f>CLEAN("OUTAGAMIE")</f>
        <v>OUTAGAMIE</v>
      </c>
      <c r="B3376" s="2" t="str">
        <f t="shared" si="498"/>
        <v>VILLAGE OF WRIGHTSTOWN</v>
      </c>
      <c r="C3376" s="2" t="s">
        <v>291</v>
      </c>
      <c r="D3376" s="2" t="str">
        <f>CLEAN("1130-67-76")</f>
        <v>1130-67-76</v>
      </c>
      <c r="E3376" s="3" t="str">
        <f>CLEAN("APPLETON - DE PERE")</f>
        <v>APPLETON - DE PERE</v>
      </c>
      <c r="F3376" s="3" t="str">
        <f>CLEAN("S COUNTY LINE RD/CTH U INTCHG")</f>
        <v>S COUNTY LINE RD/CTH U INTCHG</v>
      </c>
      <c r="G3376" s="3" t="str">
        <f>CLEAN("CONST OPS/RECSTE CTH U INTCHG")</f>
        <v>CONST OPS/RECSTE CTH U INTCHG</v>
      </c>
      <c r="H3376" s="2" t="str">
        <f>CLEAN("IH  041")</f>
        <v>IH  041</v>
      </c>
      <c r="I3376" s="2" t="str">
        <f>CLEAN("302")</f>
        <v>302</v>
      </c>
    </row>
    <row r="3377" spans="1:9" x14ac:dyDescent="0.35">
      <c r="A3377" s="2" t="str">
        <f>CLEAN("OUTAGAMIE")</f>
        <v>OUTAGAMIE</v>
      </c>
      <c r="B3377" s="2" t="str">
        <f t="shared" si="498"/>
        <v>VILLAGE OF WRIGHTSTOWN</v>
      </c>
      <c r="C3377" s="2" t="s">
        <v>290</v>
      </c>
      <c r="D3377" s="2" t="str">
        <f>CLEAN("1130-67-86")</f>
        <v>1130-67-86</v>
      </c>
      <c r="E3377" s="3" t="str">
        <f>CLEAN("APPLETON - DE PERE")</f>
        <v>APPLETON - DE PERE</v>
      </c>
      <c r="F3377" s="3" t="str">
        <f>CLEAN("CTH U FRONTAGE ROADS")</f>
        <v>CTH U FRONTAGE ROADS</v>
      </c>
      <c r="G3377" s="3" t="str">
        <f>CLEAN("CONST OPS/RECSTE CTH U FRONTAGE RDS")</f>
        <v>CONST OPS/RECSTE CTH U FRONTAGE RDS</v>
      </c>
      <c r="H3377" s="2" t="str">
        <f>CLEAN("IH  041")</f>
        <v>IH  041</v>
      </c>
      <c r="I3377" s="2" t="str">
        <f>CLEAN("302")</f>
        <v>302</v>
      </c>
    </row>
    <row r="3378" spans="1:9" x14ac:dyDescent="0.35">
      <c r="A3378" s="2" t="str">
        <f>CLEAN("BROWN")</f>
        <v>BROWN</v>
      </c>
      <c r="B3378" s="2" t="str">
        <f t="shared" si="498"/>
        <v>VILLAGE OF WRIGHTSTOWN</v>
      </c>
      <c r="C3378" s="2" t="s">
        <v>946</v>
      </c>
      <c r="D3378" s="2" t="str">
        <f>CLEAN("4075-35-72")</f>
        <v>4075-35-72</v>
      </c>
      <c r="E3378" s="3" t="str">
        <f>CLEAN("KAUKAUNA-WRIGHTSTOWN")</f>
        <v>KAUKAUNA-WRIGHTSTOWN</v>
      </c>
      <c r="F3378" s="3" t="str">
        <f>CLEAN("CTH JJ - CTH D")</f>
        <v>CTH JJ - CTH D</v>
      </c>
      <c r="G3378" s="3" t="str">
        <f>CLEAN("CONST/RESURF MILL/OVERLAY")</f>
        <v>CONST/RESURF MILL/OVERLAY</v>
      </c>
      <c r="H3378" s="2" t="str">
        <f>CLEAN("STH 096")</f>
        <v>STH 096</v>
      </c>
      <c r="I3378" s="2" t="str">
        <f>CLEAN("303")</f>
        <v>303</v>
      </c>
    </row>
    <row r="3379" spans="1:9" x14ac:dyDescent="0.35">
      <c r="A3379" s="2" t="str">
        <f>CLEAN("BROWN")</f>
        <v>BROWN</v>
      </c>
      <c r="B3379" s="2" t="str">
        <f t="shared" si="498"/>
        <v>VILLAGE OF WRIGHTSTOWN</v>
      </c>
      <c r="C3379" s="2" t="s">
        <v>3126</v>
      </c>
      <c r="D3379" s="2" t="str">
        <f>CLEAN("4519-00-00")</f>
        <v>4519-00-00</v>
      </c>
      <c r="E3379" s="3" t="str">
        <f>CLEAN("V. WRIGHTSTOWN - ALLIANCE PLASTICS")</f>
        <v>V. WRIGHTSTOWN - ALLIANCE PLASTICS</v>
      </c>
      <c r="F3379" s="3" t="str">
        <f>CLEAN("1 384'SPUR-DREXEL TR./CANADIAN TR.")</f>
        <v>1 384'SPUR-DREXEL TR./CANADIAN TR.</v>
      </c>
      <c r="G3379" s="3" t="str">
        <f>CLEAN("RAILROAD SPUR / LLC / TEA")</f>
        <v>RAILROAD SPUR / LLC / TEA</v>
      </c>
      <c r="H3379" s="2" t="str">
        <f>CLEAN("NON HWY")</f>
        <v>NON HWY</v>
      </c>
      <c r="I3379" s="2" t="str">
        <f>CLEAN("209")</f>
        <v>209</v>
      </c>
    </row>
    <row r="3380" spans="1:9" x14ac:dyDescent="0.35">
      <c r="A3380" s="2" t="str">
        <f>CLEAN("BROWN")</f>
        <v>BROWN</v>
      </c>
      <c r="B3380" s="2" t="str">
        <f t="shared" si="498"/>
        <v>VILLAGE OF WRIGHTSTOWN</v>
      </c>
      <c r="C3380" s="2" t="s">
        <v>3127</v>
      </c>
      <c r="D3380" s="2" t="str">
        <f>CLEAN("4519-00-01")</f>
        <v>4519-00-01</v>
      </c>
      <c r="E3380" s="3" t="str">
        <f>CLEAN("V. WRIGHTSTOWN - DREXEL LUMBER")</f>
        <v>V. WRIGHTSTOWN - DREXEL LUMBER</v>
      </c>
      <c r="F3380" s="3" t="str">
        <f>CLEAN("4 175' SPUR-DREXEL TR./CANADIAN TR.")</f>
        <v>4 175' SPUR-DREXEL TR./CANADIAN TR.</v>
      </c>
      <c r="G3380" s="3" t="str">
        <f>CLEAN("RAILROAD SPUR/ATR/TEA")</f>
        <v>RAILROAD SPUR/ATR/TEA</v>
      </c>
      <c r="H3380" s="2" t="str">
        <f>CLEAN("NON HWY")</f>
        <v>NON HWY</v>
      </c>
      <c r="I3380" s="2" t="str">
        <f>CLEAN("209")</f>
        <v>209</v>
      </c>
    </row>
    <row r="3381" spans="1:9" x14ac:dyDescent="0.35">
      <c r="A3381" s="2" t="str">
        <f>CLEAN("BROWN")</f>
        <v>BROWN</v>
      </c>
      <c r="B3381" s="2" t="str">
        <f t="shared" si="498"/>
        <v>VILLAGE OF WRIGHTSTOWN</v>
      </c>
      <c r="C3381" s="2" t="s">
        <v>2383</v>
      </c>
      <c r="D3381" s="2" t="str">
        <f>CLEAN("4519-04-00")</f>
        <v>4519-04-00</v>
      </c>
      <c r="E3381" s="3" t="str">
        <f>CLEAN("V WRIGHTSTOWN  CTH D/PLUM RD TRAIL")</f>
        <v>V WRIGHTSTOWN  CTH D/PLUM RD TRAIL</v>
      </c>
      <c r="F3381" s="3" t="str">
        <f>CLEAN("GOLDEN WHEAT LANE - STH 96")</f>
        <v>GOLDEN WHEAT LANE - STH 96</v>
      </c>
      <c r="G3381" s="3" t="str">
        <f>CLEAN("DSGN/FULL PSE/MISC")</f>
        <v>DSGN/FULL PSE/MISC</v>
      </c>
      <c r="H3381" s="2" t="str">
        <f>CLEAN("NON HWY")</f>
        <v>NON HWY</v>
      </c>
      <c r="I3381" s="2" t="str">
        <f>CLEAN("290")</f>
        <v>290</v>
      </c>
    </row>
    <row r="3382" spans="1:9" x14ac:dyDescent="0.35">
      <c r="A3382" s="2" t="str">
        <f>CLEAN("BROWN")</f>
        <v>BROWN</v>
      </c>
      <c r="B3382" s="2" t="str">
        <f t="shared" si="498"/>
        <v>VILLAGE OF WRIGHTSTOWN</v>
      </c>
      <c r="C3382" s="2" t="s">
        <v>2448</v>
      </c>
      <c r="D3382" s="2" t="str">
        <f>CLEAN("4519-20-00")</f>
        <v>4519-20-00</v>
      </c>
      <c r="E3382" s="3" t="str">
        <f>CLEAN("V WRIGHTSTOWN  ALISON CT")</f>
        <v>V WRIGHTSTOWN  ALISON CT</v>
      </c>
      <c r="F3382" s="3" t="str">
        <f>CLEAN("HIGHLAND ST - CLAY ST")</f>
        <v>HIGHLAND ST - CLAY ST</v>
      </c>
      <c r="G3382" s="3" t="str">
        <f>CLEAN("DSN/FINAL DSN/RSRF")</f>
        <v>DSN/FINAL DSN/RSRF</v>
      </c>
      <c r="H3382" s="2" t="str">
        <f>CLEAN("LOC STR")</f>
        <v>LOC STR</v>
      </c>
      <c r="I3382" s="2" t="str">
        <f>CLEAN("206")</f>
        <v>206</v>
      </c>
    </row>
    <row r="3383" spans="1:9" x14ac:dyDescent="0.35">
      <c r="A3383" s="2" t="str">
        <f>CLEAN("RACINE")</f>
        <v>RACINE</v>
      </c>
      <c r="B3383" s="2" t="str">
        <f>CLEAN("VILLAGE OF YORKVILLE")</f>
        <v>VILLAGE OF YORKVILLE</v>
      </c>
      <c r="C3383" s="2" t="s">
        <v>2797</v>
      </c>
      <c r="D3383" s="2" t="str">
        <f>CLEAN("2702-00-05")</f>
        <v>2702-00-05</v>
      </c>
      <c r="E3383" s="3" t="str">
        <f>CLEAN("V YORKVILLE - 2 MILE ROAD")</f>
        <v>V YORKVILLE - 2 MILE ROAD</v>
      </c>
      <c r="F3383" s="3" t="str">
        <f>CLEAN("OVER W BRANCH ROOT CANAL P51-56")</f>
        <v>OVER W BRANCH ROOT CANAL P51-56</v>
      </c>
      <c r="G3383" s="3" t="str">
        <f>CLEAN("PE/FULL PS/BRRPL")</f>
        <v>PE/FULL PS/BRRPL</v>
      </c>
      <c r="H3383" s="2" t="str">
        <f>CLEAN("LOC STR")</f>
        <v>LOC STR</v>
      </c>
      <c r="I3383" s="2" t="str">
        <f>CLEAN("205")</f>
        <v>205</v>
      </c>
    </row>
    <row r="3384" spans="1:9" x14ac:dyDescent="0.35">
      <c r="A3384" s="2" t="str">
        <f>CLEAN("RACINE")</f>
        <v>RACINE</v>
      </c>
      <c r="B3384" s="2" t="str">
        <f>CLEAN("VILLAGE OF YORKVILLE")</f>
        <v>VILLAGE OF YORKVILLE</v>
      </c>
      <c r="C3384" s="2" t="s">
        <v>481</v>
      </c>
      <c r="D3384" s="2" t="str">
        <f>CLEAN("2702-03-70")</f>
        <v>2702-03-70</v>
      </c>
      <c r="E3384" s="3" t="str">
        <f>CLEAN("58TH ROAD")</f>
        <v>58TH ROAD</v>
      </c>
      <c r="F3384" s="3" t="str">
        <f>CLEAN("BRIDGE OVER W BR ROOT RIVER CANAL")</f>
        <v>BRIDGE OVER W BR ROOT RIVER CANAL</v>
      </c>
      <c r="G3384" s="3" t="str">
        <f>CLEAN("CONST/BRIDGE REPLACEMENT/P-51-0058")</f>
        <v>CONST/BRIDGE REPLACEMENT/P-51-0058</v>
      </c>
      <c r="H3384" s="2" t="str">
        <f>CLEAN("LOC STR")</f>
        <v>LOC STR</v>
      </c>
      <c r="I3384" s="2" t="str">
        <f>CLEAN("205")</f>
        <v>205</v>
      </c>
    </row>
    <row r="3385" spans="1:9" x14ac:dyDescent="0.35">
      <c r="A3385" s="2" t="str">
        <f>CLEAN("RACINE")</f>
        <v>RACINE</v>
      </c>
      <c r="B3385" s="2" t="str">
        <f>CLEAN("VILLAGE OF YORKVILLE")</f>
        <v>VILLAGE OF YORKVILLE</v>
      </c>
      <c r="C3385" s="2" t="s">
        <v>1022</v>
      </c>
      <c r="D3385" s="2" t="str">
        <f>CLEAN("2702-03-71")</f>
        <v>2702-03-71</v>
      </c>
      <c r="E3385" s="3" t="str">
        <f>CLEAN("V YORKVILLE  GRANDVIEW PARKWAY")</f>
        <v>V YORKVILLE  GRANDVIEW PARKWAY</v>
      </c>
      <c r="F3385" s="3" t="str">
        <f>CLEAN("S SYLVANIA AVENUE INTERSECTION")</f>
        <v>S SYLVANIA AVENUE INTERSECTION</v>
      </c>
      <c r="G3385" s="3" t="str">
        <f>CLEAN("CONST/RSRF30")</f>
        <v>CONST/RSRF30</v>
      </c>
      <c r="H3385" s="2" t="str">
        <f>CLEAN("LOC STR")</f>
        <v>LOC STR</v>
      </c>
      <c r="I3385" s="2" t="str">
        <f t="shared" ref="I3385:I3395" si="499">CLEAN("206")</f>
        <v>206</v>
      </c>
    </row>
    <row r="3386" spans="1:9" x14ac:dyDescent="0.35">
      <c r="A3386" s="2" t="str">
        <f>CLEAN("WALWORTH")</f>
        <v>WALWORTH</v>
      </c>
      <c r="B3386" s="2" t="str">
        <f>CLEAN("WALWORTH COUNTY")</f>
        <v>WALWORTH COUNTY</v>
      </c>
      <c r="C3386" s="2" t="s">
        <v>2972</v>
      </c>
      <c r="D3386" s="2" t="str">
        <f>CLEAN("3350-03-00")</f>
        <v>3350-03-00</v>
      </c>
      <c r="E3386" s="3" t="str">
        <f>CLEAN("T EAST TROY  CTH L")</f>
        <v>T EAST TROY  CTH L</v>
      </c>
      <c r="F3386" s="3" t="str">
        <f>CLEAN(".7M E OF HILLBURN MILL-STONE SCHOOL")</f>
        <v>.7M E OF HILLBURN MILL-STONE SCHOOL</v>
      </c>
      <c r="G3386" s="3" t="str">
        <f>CLEAN("PE/STATE REVIEW ONLY")</f>
        <v>PE/STATE REVIEW ONLY</v>
      </c>
      <c r="H3386" s="2" t="str">
        <f>CLEAN("CTH L")</f>
        <v>CTH L</v>
      </c>
      <c r="I3386" s="2" t="str">
        <f t="shared" si="499"/>
        <v>206</v>
      </c>
    </row>
    <row r="3387" spans="1:9" x14ac:dyDescent="0.35">
      <c r="A3387" s="2" t="str">
        <f>CLEAN("WALWORTH")</f>
        <v>WALWORTH</v>
      </c>
      <c r="B3387" s="2" t="str">
        <f>CLEAN("WALWORTH COUNTY")</f>
        <v>WALWORTH COUNTY</v>
      </c>
      <c r="C3387" s="2" t="s">
        <v>3008</v>
      </c>
      <c r="D3387" s="2" t="str">
        <f>CLEAN("3697-05-00")</f>
        <v>3697-05-00</v>
      </c>
      <c r="E3387" s="3" t="str">
        <f>CLEAN("T RICHMOND  CTH A")</f>
        <v>T RICHMOND  CTH A</v>
      </c>
      <c r="F3387" s="3" t="str">
        <f>CLEAN("W COUNTY LINE TO CTH P")</f>
        <v>W COUNTY LINE TO CTH P</v>
      </c>
      <c r="G3387" s="3" t="str">
        <f>CLEAN("PE/STATE REVIEW ONLY")</f>
        <v>PE/STATE REVIEW ONLY</v>
      </c>
      <c r="H3387" s="2" t="str">
        <f>CLEAN("CTH A")</f>
        <v>CTH A</v>
      </c>
      <c r="I3387" s="2" t="str">
        <f t="shared" si="499"/>
        <v>206</v>
      </c>
    </row>
    <row r="3388" spans="1:9" x14ac:dyDescent="0.35">
      <c r="A3388" s="2" t="str">
        <f>CLEAN("WALWORTH")</f>
        <v>WALWORTH</v>
      </c>
      <c r="B3388" s="2" t="str">
        <f>CLEAN("WALWORTH COUNTY")</f>
        <v>WALWORTH COUNTY</v>
      </c>
      <c r="C3388" s="2" t="s">
        <v>731</v>
      </c>
      <c r="D3388" s="2" t="str">
        <f>CLEAN("3697-05-70")</f>
        <v>3697-05-70</v>
      </c>
      <c r="E3388" s="3" t="str">
        <f>CLEAN("T RICHMOND  CTH A")</f>
        <v>T RICHMOND  CTH A</v>
      </c>
      <c r="F3388" s="3" t="str">
        <f>CLEAN("W COUNTY LINE TO CTH P")</f>
        <v>W COUNTY LINE TO CTH P</v>
      </c>
      <c r="G3388" s="3" t="str">
        <f>CLEAN("CONST/PVRPLA")</f>
        <v>CONST/PVRPLA</v>
      </c>
      <c r="H3388" s="2" t="str">
        <f>CLEAN("CTH A")</f>
        <v>CTH A</v>
      </c>
      <c r="I3388" s="2" t="str">
        <f t="shared" si="499"/>
        <v>206</v>
      </c>
    </row>
    <row r="3389" spans="1:9" x14ac:dyDescent="0.35">
      <c r="A3389" s="2" t="str">
        <f>CLEAN("WALWORTH")</f>
        <v>WALWORTH</v>
      </c>
      <c r="B3389" s="2" t="str">
        <f>CLEAN("WALWORTH COUNTY")</f>
        <v>WALWORTH COUNTY</v>
      </c>
      <c r="C3389" s="2" t="s">
        <v>2983</v>
      </c>
      <c r="D3389" s="2" t="str">
        <f>CLEAN("3703-02-00")</f>
        <v>3703-02-00</v>
      </c>
      <c r="E3389" s="3" t="str">
        <f>CLEAN("T OF SPRING PRAIRIE  CTH DD")</f>
        <v>T OF SPRING PRAIRIE  CTH DD</v>
      </c>
      <c r="F3389" s="3" t="str">
        <f>CLEAN("CTH JS TO CTH D")</f>
        <v>CTH JS TO CTH D</v>
      </c>
      <c r="G3389" s="3" t="str">
        <f>CLEAN("PE/STATE REVIEW ONLY")</f>
        <v>PE/STATE REVIEW ONLY</v>
      </c>
      <c r="H3389" s="2" t="str">
        <f>CLEAN("CTH DD")</f>
        <v>CTH DD</v>
      </c>
      <c r="I3389" s="2" t="str">
        <f t="shared" si="499"/>
        <v>206</v>
      </c>
    </row>
    <row r="3390" spans="1:9" x14ac:dyDescent="0.35">
      <c r="A3390" s="2" t="str">
        <f>CLEAN("WASHBURN")</f>
        <v>WASHBURN</v>
      </c>
      <c r="B3390" s="2" t="str">
        <f>CLEAN("WASHBURN COUNTY")</f>
        <v>WASHBURN COUNTY</v>
      </c>
      <c r="C3390" s="2" t="s">
        <v>1531</v>
      </c>
      <c r="D3390" s="2" t="str">
        <f>CLEAN("8800-00-00")</f>
        <v>8800-00-00</v>
      </c>
      <c r="E3390" s="3" t="str">
        <f>CLEAN("SPOONER - STH 77")</f>
        <v>SPOONER - STH 77</v>
      </c>
      <c r="F3390" s="3" t="str">
        <f>CLEAN("USH 63 TO SUNSET LANE")</f>
        <v>USH 63 TO SUNSET LANE</v>
      </c>
      <c r="G3390" s="3" t="str">
        <f>CLEAN("DESIGN - FULL PS&amp;E RECONSTRUCTION")</f>
        <v>DESIGN - FULL PS&amp;E RECONSTRUCTION</v>
      </c>
      <c r="H3390" s="2" t="str">
        <f>CLEAN("CTH K")</f>
        <v>CTH K</v>
      </c>
      <c r="I3390" s="2" t="str">
        <f t="shared" si="499"/>
        <v>206</v>
      </c>
    </row>
    <row r="3391" spans="1:9" x14ac:dyDescent="0.35">
      <c r="A3391" s="2" t="str">
        <f>CLEAN("WASHBURN")</f>
        <v>WASHBURN</v>
      </c>
      <c r="B3391" s="2" t="str">
        <f>CLEAN("WASHBURN COUNTY")</f>
        <v>WASHBURN COUNTY</v>
      </c>
      <c r="C3391" s="2" t="s">
        <v>1508</v>
      </c>
      <c r="D3391" s="2" t="str">
        <f>CLEAN("8800-00-01")</f>
        <v>8800-00-01</v>
      </c>
      <c r="E3391" s="3" t="str">
        <f>CLEAN("SPOONER - STH 77")</f>
        <v>SPOONER - STH 77</v>
      </c>
      <c r="F3391" s="3" t="str">
        <f>CLEAN("CTH F TO STH 77")</f>
        <v>CTH F TO STH 77</v>
      </c>
      <c r="G3391" s="3" t="str">
        <f>CLEAN("DESIGN - FULL PS&amp;E PVRPLA")</f>
        <v>DESIGN - FULL PS&amp;E PVRPLA</v>
      </c>
      <c r="H3391" s="2" t="str">
        <f>CLEAN("CTH K")</f>
        <v>CTH K</v>
      </c>
      <c r="I3391" s="2" t="str">
        <f t="shared" si="499"/>
        <v>206</v>
      </c>
    </row>
    <row r="3392" spans="1:9" x14ac:dyDescent="0.35">
      <c r="A3392" s="2" t="str">
        <f>CLEAN("WASHBURN")</f>
        <v>WASHBURN</v>
      </c>
      <c r="B3392" s="2" t="str">
        <f>CLEAN("WASHBURN COUNTY")</f>
        <v>WASHBURN COUNTY</v>
      </c>
      <c r="C3392" s="2" t="s">
        <v>1332</v>
      </c>
      <c r="D3392" s="2" t="str">
        <f>CLEAN("8800-00-70")</f>
        <v>8800-00-70</v>
      </c>
      <c r="E3392" s="3" t="str">
        <f>CLEAN("SPOONER - STH 77")</f>
        <v>SPOONER - STH 77</v>
      </c>
      <c r="F3392" s="3" t="str">
        <f>CLEAN("USH 63 TO SUNSET LANE")</f>
        <v>USH 63 TO SUNSET LANE</v>
      </c>
      <c r="G3392" s="3" t="str">
        <f>CLEAN("CONSTRUCTION/RECONSTRUCTION")</f>
        <v>CONSTRUCTION/RECONSTRUCTION</v>
      </c>
      <c r="H3392" s="2" t="str">
        <f>CLEAN("CTH K")</f>
        <v>CTH K</v>
      </c>
      <c r="I3392" s="2" t="str">
        <f t="shared" si="499"/>
        <v>206</v>
      </c>
    </row>
    <row r="3393" spans="1:9" x14ac:dyDescent="0.35">
      <c r="A3393" s="2" t="str">
        <f>CLEAN("WASHBURN")</f>
        <v>WASHBURN</v>
      </c>
      <c r="B3393" s="2" t="str">
        <f>CLEAN("WASHBURN COUNTY")</f>
        <v>WASHBURN COUNTY</v>
      </c>
      <c r="C3393" s="2" t="s">
        <v>1304</v>
      </c>
      <c r="D3393" s="2" t="str">
        <f>CLEAN("8800-00-71")</f>
        <v>8800-00-71</v>
      </c>
      <c r="E3393" s="3" t="str">
        <f>CLEAN("SPOONER - STH 77")</f>
        <v>SPOONER - STH 77</v>
      </c>
      <c r="F3393" s="3" t="str">
        <f>CLEAN("CTH F TO STH 77")</f>
        <v>CTH F TO STH 77</v>
      </c>
      <c r="G3393" s="3" t="str">
        <f>CLEAN("CONSTRUCTION/PVRPLA")</f>
        <v>CONSTRUCTION/PVRPLA</v>
      </c>
      <c r="H3393" s="2" t="str">
        <f>CLEAN("CTH K")</f>
        <v>CTH K</v>
      </c>
      <c r="I3393" s="2" t="str">
        <f t="shared" si="499"/>
        <v>206</v>
      </c>
    </row>
    <row r="3394" spans="1:9" x14ac:dyDescent="0.35">
      <c r="A3394" s="2" t="str">
        <f>CLEAN("WASHBURN")</f>
        <v>WASHBURN</v>
      </c>
      <c r="B3394" s="2" t="str">
        <f>CLEAN("WASHBURN COUNTY")</f>
        <v>WASHBURN COUNTY</v>
      </c>
      <c r="C3394" s="2" t="s">
        <v>1507</v>
      </c>
      <c r="D3394" s="2" t="str">
        <f>CLEAN("8809-00-00")</f>
        <v>8809-00-00</v>
      </c>
      <c r="E3394" s="3" t="str">
        <f>CLEAN("BARRON COUNTY LINE - SPRINGBROOK")</f>
        <v>BARRON COUNTY LINE - SPRINGBROOK</v>
      </c>
      <c r="F3394" s="3" t="str">
        <f>CLEAN("CTH D TO AUDUBON ROAD")</f>
        <v>CTH D TO AUDUBON ROAD</v>
      </c>
      <c r="G3394" s="3" t="str">
        <f>CLEAN("DESIGN - FULL PS&amp;E PVRPLA")</f>
        <v>DESIGN - FULL PS&amp;E PVRPLA</v>
      </c>
      <c r="H3394" s="2" t="str">
        <f>CLEAN("CTH M")</f>
        <v>CTH M</v>
      </c>
      <c r="I3394" s="2" t="str">
        <f t="shared" si="499"/>
        <v>206</v>
      </c>
    </row>
    <row r="3395" spans="1:9" x14ac:dyDescent="0.35">
      <c r="A3395" s="2" t="str">
        <f t="shared" ref="A3395:A3403" si="500">CLEAN("WASHINGTON")</f>
        <v>WASHINGTON</v>
      </c>
      <c r="B3395" s="2" t="str">
        <f t="shared" ref="B3395:B3403" si="501">CLEAN("WASHINGTON COUNTY")</f>
        <v>WASHINGTON COUNTY</v>
      </c>
      <c r="C3395" s="2" t="s">
        <v>2887</v>
      </c>
      <c r="D3395" s="2" t="str">
        <f>CLEAN("2010-07-01")</f>
        <v>2010-07-01</v>
      </c>
      <c r="E3395" s="3" t="str">
        <f>CLEAN("V GERMANTOWN  LANNON RD")</f>
        <v>V GERMANTOWN  LANNON RD</v>
      </c>
      <c r="F3395" s="3" t="str">
        <f>CLEAN("COUNTY LINE RD TO APPLETON AVE")</f>
        <v>COUNTY LINE RD TO APPLETON AVE</v>
      </c>
      <c r="G3395" s="3" t="str">
        <f>CLEAN("PE/FULL PSEPVRPLA")</f>
        <v>PE/FULL PSEPVRPLA</v>
      </c>
      <c r="H3395" s="2" t="str">
        <f>CLEAN("CTH Y")</f>
        <v>CTH Y</v>
      </c>
      <c r="I3395" s="2" t="str">
        <f t="shared" si="499"/>
        <v>206</v>
      </c>
    </row>
    <row r="3396" spans="1:9" x14ac:dyDescent="0.35">
      <c r="A3396" s="2" t="str">
        <f t="shared" si="500"/>
        <v>WASHINGTON</v>
      </c>
      <c r="B3396" s="2" t="str">
        <f t="shared" si="501"/>
        <v>WASHINGTON COUNTY</v>
      </c>
      <c r="C3396" s="2" t="s">
        <v>392</v>
      </c>
      <c r="D3396" s="2" t="str">
        <f>CLEAN("1100-43-70")</f>
        <v>1100-43-70</v>
      </c>
      <c r="E3396" s="3" t="str">
        <f>CLEAN("MILWAUKEE - FOND DU LAC")</f>
        <v>MILWAUKEE - FOND DU LAC</v>
      </c>
      <c r="F3396" s="3" t="str">
        <f>CLEAN("WASHINGTON CO LINE TO USH 45")</f>
        <v>WASHINGTON CO LINE TO USH 45</v>
      </c>
      <c r="G3396" s="3" t="str">
        <f>CLEAN("CONST/BRIDGE REHAB")</f>
        <v>CONST/BRIDGE REHAB</v>
      </c>
      <c r="H3396" s="2" t="str">
        <f>CLEAN("IH  041")</f>
        <v>IH  041</v>
      </c>
      <c r="I3396" s="2" t="str">
        <f>CLEAN("303")</f>
        <v>303</v>
      </c>
    </row>
    <row r="3397" spans="1:9" x14ac:dyDescent="0.35">
      <c r="A3397" s="2" t="str">
        <f t="shared" si="500"/>
        <v>WASHINGTON</v>
      </c>
      <c r="B3397" s="2" t="str">
        <f t="shared" si="501"/>
        <v>WASHINGTON COUNTY</v>
      </c>
      <c r="C3397" s="2" t="s">
        <v>454</v>
      </c>
      <c r="D3397" s="2" t="str">
        <f>CLEAN("2745-00-71")</f>
        <v>2745-00-71</v>
      </c>
      <c r="E3397" s="3" t="str">
        <f>CLEAN("CTH M")</f>
        <v>CTH M</v>
      </c>
      <c r="F3397" s="3" t="str">
        <f>CLEAN("MILWAUKEE RIVER BRIDGE B-66-0945")</f>
        <v>MILWAUKEE RIVER BRIDGE B-66-0945</v>
      </c>
      <c r="G3397" s="3" t="str">
        <f>CLEAN("CONST/BRIDGE REPLACEMENT")</f>
        <v>CONST/BRIDGE REPLACEMENT</v>
      </c>
      <c r="H3397" s="2" t="str">
        <f>CLEAN("CTH M")</f>
        <v>CTH M</v>
      </c>
      <c r="I3397" s="2" t="str">
        <f>CLEAN("205")</f>
        <v>205</v>
      </c>
    </row>
    <row r="3398" spans="1:9" x14ac:dyDescent="0.35">
      <c r="A3398" s="2" t="str">
        <f t="shared" si="500"/>
        <v>WASHINGTON</v>
      </c>
      <c r="B3398" s="2" t="str">
        <f t="shared" si="501"/>
        <v>WASHINGTON COUNTY</v>
      </c>
      <c r="C3398" s="2" t="s">
        <v>2647</v>
      </c>
      <c r="D3398" s="2" t="str">
        <f>CLEAN("4867-01-00")</f>
        <v>4867-01-00</v>
      </c>
      <c r="E3398" s="3" t="str">
        <f>CLEAN("CTH H")</f>
        <v>CTH H</v>
      </c>
      <c r="F3398" s="3" t="str">
        <f>CLEAN("BRIDGE OVER MILWAUKEE RIVER B660655")</f>
        <v>BRIDGE OVER MILWAUKEE RIVER B660655</v>
      </c>
      <c r="G3398" s="3" t="str">
        <f>CLEAN("PE/BRIDGE REPLACEMENT")</f>
        <v>PE/BRIDGE REPLACEMENT</v>
      </c>
      <c r="H3398" s="2" t="str">
        <f>CLEAN("CTH H")</f>
        <v>CTH H</v>
      </c>
      <c r="I3398" s="2" t="str">
        <f>CLEAN("205")</f>
        <v>205</v>
      </c>
    </row>
    <row r="3399" spans="1:9" x14ac:dyDescent="0.35">
      <c r="A3399" s="2" t="str">
        <f t="shared" si="500"/>
        <v>WASHINGTON</v>
      </c>
      <c r="B3399" s="2" t="str">
        <f t="shared" si="501"/>
        <v>WASHINGTON COUNTY</v>
      </c>
      <c r="C3399" s="2" t="s">
        <v>424</v>
      </c>
      <c r="D3399" s="2" t="str">
        <f>CLEAN("4867-01-70")</f>
        <v>4867-01-70</v>
      </c>
      <c r="E3399" s="3" t="str">
        <f>CLEAN("CTH H")</f>
        <v>CTH H</v>
      </c>
      <c r="F3399" s="3" t="str">
        <f>CLEAN("BRIDGE OVER MILWAUKEE RIVER B660655")</f>
        <v>BRIDGE OVER MILWAUKEE RIVER B660655</v>
      </c>
      <c r="G3399" s="3" t="str">
        <f>CLEAN("CONST/BRIDGE REPLACEMENT")</f>
        <v>CONST/BRIDGE REPLACEMENT</v>
      </c>
      <c r="H3399" s="2" t="str">
        <f>CLEAN("CTH H")</f>
        <v>CTH H</v>
      </c>
      <c r="I3399" s="2" t="str">
        <f>CLEAN("205")</f>
        <v>205</v>
      </c>
    </row>
    <row r="3400" spans="1:9" x14ac:dyDescent="0.35">
      <c r="A3400" s="2" t="str">
        <f t="shared" si="500"/>
        <v>WASHINGTON</v>
      </c>
      <c r="B3400" s="2" t="str">
        <f t="shared" si="501"/>
        <v>WASHINGTON COUNTY</v>
      </c>
      <c r="C3400" s="2" t="s">
        <v>2699</v>
      </c>
      <c r="D3400" s="2" t="str">
        <f>CLEAN("4868-05-00")</f>
        <v>4868-05-00</v>
      </c>
      <c r="E3400" s="3" t="str">
        <f>CLEAN("T FARMINGTON  CTH A")</f>
        <v>T FARMINGTON  CTH A</v>
      </c>
      <c r="F3400" s="3" t="str">
        <f>CLEAN("MILWAUKEE RIVER BRIDGE B66-944")</f>
        <v>MILWAUKEE RIVER BRIDGE B66-944</v>
      </c>
      <c r="G3400" s="3" t="str">
        <f>CLEAN("PE/FULL PS&amp;E ROW/BRRPL")</f>
        <v>PE/FULL PS&amp;E ROW/BRRPL</v>
      </c>
      <c r="H3400" s="2" t="str">
        <f>CLEAN("CTH A")</f>
        <v>CTH A</v>
      </c>
      <c r="I3400" s="2" t="str">
        <f>CLEAN("205")</f>
        <v>205</v>
      </c>
    </row>
    <row r="3401" spans="1:9" x14ac:dyDescent="0.35">
      <c r="A3401" s="2" t="str">
        <f t="shared" si="500"/>
        <v>WASHINGTON</v>
      </c>
      <c r="B3401" s="2" t="str">
        <f t="shared" si="501"/>
        <v>WASHINGTON COUNTY</v>
      </c>
      <c r="C3401" s="2" t="s">
        <v>508</v>
      </c>
      <c r="D3401" s="2" t="str">
        <f>CLEAN("4868-05-70")</f>
        <v>4868-05-70</v>
      </c>
      <c r="E3401" s="3" t="str">
        <f>CLEAN("T FARMINGTON  CTH A")</f>
        <v>T FARMINGTON  CTH A</v>
      </c>
      <c r="F3401" s="3" t="str">
        <f>CLEAN("MILWAUKEE RIVER BRIDGE B66-944")</f>
        <v>MILWAUKEE RIVER BRIDGE B66-944</v>
      </c>
      <c r="G3401" s="3" t="str">
        <f>CLEAN("CONST/BRRPL")</f>
        <v>CONST/BRRPL</v>
      </c>
      <c r="H3401" s="2" t="str">
        <f>CLEAN("CTH A")</f>
        <v>CTH A</v>
      </c>
      <c r="I3401" s="2" t="str">
        <f>CLEAN("205")</f>
        <v>205</v>
      </c>
    </row>
    <row r="3402" spans="1:9" x14ac:dyDescent="0.35">
      <c r="A3402" s="2" t="str">
        <f t="shared" si="500"/>
        <v>WASHINGTON</v>
      </c>
      <c r="B3402" s="2" t="str">
        <f t="shared" si="501"/>
        <v>WASHINGTON COUNTY</v>
      </c>
      <c r="C3402" s="2" t="s">
        <v>2986</v>
      </c>
      <c r="D3402" s="2" t="str">
        <f>CLEAN("4869-03-00")</f>
        <v>4869-03-00</v>
      </c>
      <c r="E3402" s="3" t="str">
        <f>CLEAN("ADDISON - BARTON")</f>
        <v>ADDISON - BARTON</v>
      </c>
      <c r="F3402" s="3" t="str">
        <f>CLEAN("CTH WW TO KETTLE VIEW DR S")</f>
        <v>CTH WW TO KETTLE VIEW DR S</v>
      </c>
      <c r="G3402" s="3" t="str">
        <f>CLEAN("PE/STATE REVIEW ONLY")</f>
        <v>PE/STATE REVIEW ONLY</v>
      </c>
      <c r="H3402" s="2" t="str">
        <f>CLEAN("CTH D")</f>
        <v>CTH D</v>
      </c>
      <c r="I3402" s="2" t="str">
        <f>CLEAN("206")</f>
        <v>206</v>
      </c>
    </row>
    <row r="3403" spans="1:9" x14ac:dyDescent="0.35">
      <c r="A3403" s="2" t="str">
        <f t="shared" si="500"/>
        <v>WASHINGTON</v>
      </c>
      <c r="B3403" s="2" t="str">
        <f t="shared" si="501"/>
        <v>WASHINGTON COUNTY</v>
      </c>
      <c r="C3403" s="2" t="s">
        <v>717</v>
      </c>
      <c r="D3403" s="2" t="str">
        <f>CLEAN("4869-03-70")</f>
        <v>4869-03-70</v>
      </c>
      <c r="E3403" s="3" t="str">
        <f>CLEAN("ADDISON - BARTON")</f>
        <v>ADDISON - BARTON</v>
      </c>
      <c r="F3403" s="3" t="str">
        <f>CLEAN("CTH WW TO KETTLE VIEW DR S")</f>
        <v>CTH WW TO KETTLE VIEW DR S</v>
      </c>
      <c r="G3403" s="3" t="str">
        <f>CLEAN("CONST/PVRPLA")</f>
        <v>CONST/PVRPLA</v>
      </c>
      <c r="H3403" s="2" t="str">
        <f>CLEAN("CTH D")</f>
        <v>CTH D</v>
      </c>
      <c r="I3403" s="2" t="str">
        <f>CLEAN("206")</f>
        <v>206</v>
      </c>
    </row>
    <row r="3404" spans="1:9" x14ac:dyDescent="0.35">
      <c r="A3404" s="2" t="str">
        <f t="shared" ref="A3404:A3435" si="502">CLEAN("WAUKESHA")</f>
        <v>WAUKESHA</v>
      </c>
      <c r="B3404" s="2" t="str">
        <f>CLEAN("WAUKESHA CO TRANSIT")</f>
        <v>WAUKESHA CO TRANSIT</v>
      </c>
      <c r="C3404" s="2" t="s">
        <v>3412</v>
      </c>
      <c r="D3404" s="2" t="str">
        <f>CLEAN("2718-19-10")</f>
        <v>2718-19-10</v>
      </c>
      <c r="E3404" s="3" t="str">
        <f>CLEAN("CITY OF WAUKESHA BUS PURCHASE")</f>
        <v>CITY OF WAUKESHA BUS PURCHASE</v>
      </c>
      <c r="F3404" s="3" t="str">
        <f>CLEAN("PURCHASE 1 NEW 35 FT BUS")</f>
        <v>PURCHASE 1 NEW 35 FT BUS</v>
      </c>
      <c r="G3404" s="3" t="str">
        <f>CLEAN("TST/BUS PURCHASE")</f>
        <v>TST/BUS PURCHASE</v>
      </c>
      <c r="H3404" s="2" t="str">
        <f>CLEAN("NON HWY")</f>
        <v>NON HWY</v>
      </c>
      <c r="I3404" s="2" t="str">
        <f>CLEAN("206")</f>
        <v>206</v>
      </c>
    </row>
    <row r="3405" spans="1:9" x14ac:dyDescent="0.35">
      <c r="A3405" s="2" t="str">
        <f t="shared" si="502"/>
        <v>WAUKESHA</v>
      </c>
      <c r="B3405" s="2" t="str">
        <f>CLEAN("WAUKESHA CO TRANSIT")</f>
        <v>WAUKESHA CO TRANSIT</v>
      </c>
      <c r="C3405" s="2" t="s">
        <v>3415</v>
      </c>
      <c r="D3405" s="2" t="str">
        <f>CLEAN("2718-22-83")</f>
        <v>2718-22-83</v>
      </c>
      <c r="E3405" s="3" t="str">
        <f>CLEAN("C WAUKESHA PARATRANSIT REPLACEMENT")</f>
        <v>C WAUKESHA PARATRANSIT REPLACEMENT</v>
      </c>
      <c r="F3405" s="3" t="str">
        <f>CLEAN("4 PARATRANSIT BUSES")</f>
        <v>4 PARATRANSIT BUSES</v>
      </c>
      <c r="G3405" s="3" t="str">
        <f>CLEAN("TST/WAUKESHA TRANSIT  CMAQ")</f>
        <v>TST/WAUKESHA TRANSIT  CMAQ</v>
      </c>
      <c r="H3405" s="2" t="str">
        <f>CLEAN("NON HWY")</f>
        <v>NON HWY</v>
      </c>
      <c r="I3405" s="2" t="str">
        <f>CLEAN("211")</f>
        <v>211</v>
      </c>
    </row>
    <row r="3406" spans="1:9" x14ac:dyDescent="0.35">
      <c r="A3406" s="2" t="str">
        <f t="shared" si="502"/>
        <v>WAUKESHA</v>
      </c>
      <c r="B3406" s="2" t="str">
        <f t="shared" ref="B3406:B3453" si="503">CLEAN("WAUKESHA COUNTY")</f>
        <v>WAUKESHA COUNTY</v>
      </c>
      <c r="C3406" s="2" t="s">
        <v>2860</v>
      </c>
      <c r="D3406" s="2" t="str">
        <f>CLEAN("2450-05-02")</f>
        <v>2450-05-02</v>
      </c>
      <c r="E3406" s="3" t="str">
        <f>CLEAN("C PEWAUKEE  REDFORD BLVD")</f>
        <v>C PEWAUKEE  REDFORD BLVD</v>
      </c>
      <c r="F3406" s="3" t="str">
        <f>CLEAN("INTERSECTION WITH BUSSE RD")</f>
        <v>INTERSECTION WITH BUSSE RD</v>
      </c>
      <c r="G3406" s="3" t="str">
        <f>CLEAN("PE/FULL PSE/MISC")</f>
        <v>PE/FULL PSE/MISC</v>
      </c>
      <c r="H3406" s="2" t="str">
        <f>CLEAN("CTH F")</f>
        <v>CTH F</v>
      </c>
      <c r="I3406" s="2" t="str">
        <f>CLEAN("206")</f>
        <v>206</v>
      </c>
    </row>
    <row r="3407" spans="1:9" x14ac:dyDescent="0.35">
      <c r="A3407" s="2" t="str">
        <f t="shared" si="502"/>
        <v>WAUKESHA</v>
      </c>
      <c r="B3407" s="2" t="str">
        <f t="shared" si="503"/>
        <v>WAUKESHA COUNTY</v>
      </c>
      <c r="C3407" s="2" t="s">
        <v>2861</v>
      </c>
      <c r="D3407" s="2" t="str">
        <f>CLEAN("2450-06-01")</f>
        <v>2450-06-01</v>
      </c>
      <c r="E3407" s="3" t="str">
        <f>CLEAN("V LISBON  REDFORD BLVD")</f>
        <v>V LISBON  REDFORD BLVD</v>
      </c>
      <c r="F3407" s="3" t="str">
        <f>CLEAN("INTERSECTION WITH LISBON RD")</f>
        <v>INTERSECTION WITH LISBON RD</v>
      </c>
      <c r="G3407" s="3" t="str">
        <f>CLEAN("PE/FULL PSE/MISC")</f>
        <v>PE/FULL PSE/MISC</v>
      </c>
      <c r="H3407" s="2" t="str">
        <f>CLEAN("CTH F")</f>
        <v>CTH F</v>
      </c>
      <c r="I3407" s="2" t="str">
        <f>CLEAN("206")</f>
        <v>206</v>
      </c>
    </row>
    <row r="3408" spans="1:9" x14ac:dyDescent="0.35">
      <c r="A3408" s="2" t="str">
        <f t="shared" si="502"/>
        <v>WAUKESHA</v>
      </c>
      <c r="B3408" s="2" t="str">
        <f t="shared" si="503"/>
        <v>WAUKESHA COUNTY</v>
      </c>
      <c r="C3408" s="2" t="s">
        <v>2867</v>
      </c>
      <c r="D3408" s="2" t="str">
        <f>CLEAN("2718-06-01")</f>
        <v>2718-06-01</v>
      </c>
      <c r="E3408" s="3" t="str">
        <f>CLEAN("SIGNAL CABINET REPLACEMENT")</f>
        <v>SIGNAL CABINET REPLACEMENT</v>
      </c>
      <c r="F3408" s="3" t="str">
        <f>CLEAN("VARIOUS LOCATIONS COUNTY WIDE")</f>
        <v>VARIOUS LOCATIONS COUNTY WIDE</v>
      </c>
      <c r="G3408" s="3" t="str">
        <f>CLEAN("PE/FULL PSE/MISC")</f>
        <v>PE/FULL PSE/MISC</v>
      </c>
      <c r="H3408" s="2" t="str">
        <f>CLEAN("VAR HWY")</f>
        <v>VAR HWY</v>
      </c>
      <c r="I3408" s="2" t="str">
        <f>CLEAN("211")</f>
        <v>211</v>
      </c>
    </row>
    <row r="3409" spans="1:9" x14ac:dyDescent="0.35">
      <c r="A3409" s="2" t="str">
        <f t="shared" si="502"/>
        <v>WAUKESHA</v>
      </c>
      <c r="B3409" s="2" t="str">
        <f t="shared" si="503"/>
        <v>WAUKESHA COUNTY</v>
      </c>
      <c r="C3409" s="2" t="s">
        <v>2781</v>
      </c>
      <c r="D3409" s="2" t="str">
        <f>CLEAN("2722-04-01")</f>
        <v>2722-04-01</v>
      </c>
      <c r="E3409" s="3" t="str">
        <f>CLEAN("C NEW BERLIN MOORLAND ROAD")</f>
        <v>C NEW BERLIN MOORLAND ROAD</v>
      </c>
      <c r="F3409" s="3" t="str">
        <f>CLEAN("CTH D TO STH 59")</f>
        <v>CTH D TO STH 59</v>
      </c>
      <c r="G3409" s="3" t="str">
        <f>CLEAN("PE/FULL PS&amp;E-RE-PVRPLA")</f>
        <v>PE/FULL PS&amp;E-RE-PVRPLA</v>
      </c>
      <c r="H3409" s="2" t="str">
        <f>CLEAN("CTH O")</f>
        <v>CTH O</v>
      </c>
      <c r="I3409" s="2" t="str">
        <f>CLEAN("206")</f>
        <v>206</v>
      </c>
    </row>
    <row r="3410" spans="1:9" x14ac:dyDescent="0.35">
      <c r="A3410" s="2" t="str">
        <f t="shared" si="502"/>
        <v>WAUKESHA</v>
      </c>
      <c r="B3410" s="2" t="str">
        <f t="shared" si="503"/>
        <v>WAUKESHA COUNTY</v>
      </c>
      <c r="C3410" s="2" t="s">
        <v>3138</v>
      </c>
      <c r="D3410" s="2" t="str">
        <f>CLEAN("2722-04-21")</f>
        <v>2722-04-21</v>
      </c>
      <c r="E3410" s="3" t="str">
        <f>CLEAN("C NEW BERLIN MOORLAND ROAD")</f>
        <v>C NEW BERLIN MOORLAND ROAD</v>
      </c>
      <c r="F3410" s="3" t="str">
        <f>CLEAN("CTH D TO STH 59")</f>
        <v>CTH D TO STH 59</v>
      </c>
      <c r="G3410" s="3" t="str">
        <f>CLEAN("RE/PAVEMENT REPLACEMENT")</f>
        <v>RE/PAVEMENT REPLACEMENT</v>
      </c>
      <c r="H3410" s="2" t="str">
        <f>CLEAN("CTH O")</f>
        <v>CTH O</v>
      </c>
      <c r="I3410" s="2" t="str">
        <f>CLEAN("206")</f>
        <v>206</v>
      </c>
    </row>
    <row r="3411" spans="1:9" x14ac:dyDescent="0.35">
      <c r="A3411" s="2" t="str">
        <f t="shared" si="502"/>
        <v>WAUKESHA</v>
      </c>
      <c r="B3411" s="2" t="str">
        <f t="shared" si="503"/>
        <v>WAUKESHA COUNTY</v>
      </c>
      <c r="C3411" s="2" t="s">
        <v>2836</v>
      </c>
      <c r="D3411" s="2" t="str">
        <f>CLEAN("2722-05-01")</f>
        <v>2722-05-01</v>
      </c>
      <c r="E3411" s="3" t="str">
        <f>CLEAN("C NEW BERLIN  BELOIT RD")</f>
        <v>C NEW BERLIN  BELOIT RD</v>
      </c>
      <c r="F3411" s="3" t="str">
        <f>CLEAN("BRIDGE OVER CALHOUN CREEK B67-0318")</f>
        <v>BRIDGE OVER CALHOUN CREEK B67-0318</v>
      </c>
      <c r="G3411" s="3" t="str">
        <f>CLEAN("PE/FULL PSE/BRRHB")</f>
        <v>PE/FULL PSE/BRRHB</v>
      </c>
      <c r="H3411" s="2" t="str">
        <f>CLEAN("CTH I")</f>
        <v>CTH I</v>
      </c>
      <c r="I3411" s="2" t="str">
        <f>CLEAN("205")</f>
        <v>205</v>
      </c>
    </row>
    <row r="3412" spans="1:9" x14ac:dyDescent="0.35">
      <c r="A3412" s="2" t="str">
        <f t="shared" si="502"/>
        <v>WAUKESHA</v>
      </c>
      <c r="B3412" s="2" t="str">
        <f t="shared" si="503"/>
        <v>WAUKESHA COUNTY</v>
      </c>
      <c r="C3412" s="2" t="s">
        <v>2959</v>
      </c>
      <c r="D3412" s="2" t="str">
        <f>CLEAN("2722-07-02")</f>
        <v>2722-07-02</v>
      </c>
      <c r="E3412" s="3" t="str">
        <f t="shared" ref="E3412:E3417" si="504">CLEAN("MOORLAND ROAD")</f>
        <v>MOORLAND ROAD</v>
      </c>
      <c r="F3412" s="3" t="str">
        <f>CLEAN("W BELOIT ROAD TO W NATIONAL AVENUE")</f>
        <v>W BELOIT ROAD TO W NATIONAL AVENUE</v>
      </c>
      <c r="G3412" s="3" t="str">
        <f>CLEAN("PE/REPLACEMENT")</f>
        <v>PE/REPLACEMENT</v>
      </c>
      <c r="H3412" s="2" t="str">
        <f t="shared" ref="H3412:H3418" si="505">CLEAN("CTH O")</f>
        <v>CTH O</v>
      </c>
      <c r="I3412" s="2" t="str">
        <f t="shared" ref="I3412:I3418" si="506">CLEAN("206")</f>
        <v>206</v>
      </c>
    </row>
    <row r="3413" spans="1:9" x14ac:dyDescent="0.35">
      <c r="A3413" s="2" t="str">
        <f t="shared" si="502"/>
        <v>WAUKESHA</v>
      </c>
      <c r="B3413" s="2" t="str">
        <f t="shared" si="503"/>
        <v>WAUKESHA COUNTY</v>
      </c>
      <c r="C3413" s="2" t="s">
        <v>3155</v>
      </c>
      <c r="D3413" s="2" t="str">
        <f>CLEAN("2722-07-21")</f>
        <v>2722-07-21</v>
      </c>
      <c r="E3413" s="3" t="str">
        <f t="shared" si="504"/>
        <v>MOORLAND ROAD</v>
      </c>
      <c r="F3413" s="3" t="str">
        <f>CLEAN("I-94 TO W BLUEMOUND ROAD")</f>
        <v>I-94 TO W BLUEMOUND ROAD</v>
      </c>
      <c r="G3413" s="3" t="str">
        <f>CLEAN("RE/RESURFACE")</f>
        <v>RE/RESURFACE</v>
      </c>
      <c r="H3413" s="2" t="str">
        <f t="shared" si="505"/>
        <v>CTH O</v>
      </c>
      <c r="I3413" s="2" t="str">
        <f t="shared" si="506"/>
        <v>206</v>
      </c>
    </row>
    <row r="3414" spans="1:9" x14ac:dyDescent="0.35">
      <c r="A3414" s="2" t="str">
        <f t="shared" si="502"/>
        <v>WAUKESHA</v>
      </c>
      <c r="B3414" s="2" t="str">
        <f t="shared" si="503"/>
        <v>WAUKESHA COUNTY</v>
      </c>
      <c r="C3414" s="2" t="s">
        <v>3154</v>
      </c>
      <c r="D3414" s="2" t="str">
        <f>CLEAN("2722-07-22")</f>
        <v>2722-07-22</v>
      </c>
      <c r="E3414" s="3" t="str">
        <f t="shared" si="504"/>
        <v>MOORLAND ROAD</v>
      </c>
      <c r="F3414" s="3" t="str">
        <f>CLEAN("W BELOIT ROAD TO W NATIONAL AVENUE")</f>
        <v>W BELOIT ROAD TO W NATIONAL AVENUE</v>
      </c>
      <c r="G3414" s="3" t="str">
        <f>CLEAN("RE/REPLACEMENT")</f>
        <v>RE/REPLACEMENT</v>
      </c>
      <c r="H3414" s="2" t="str">
        <f t="shared" si="505"/>
        <v>CTH O</v>
      </c>
      <c r="I3414" s="2" t="str">
        <f t="shared" si="506"/>
        <v>206</v>
      </c>
    </row>
    <row r="3415" spans="1:9" x14ac:dyDescent="0.35">
      <c r="A3415" s="2" t="str">
        <f t="shared" si="502"/>
        <v>WAUKESHA</v>
      </c>
      <c r="B3415" s="2" t="str">
        <f t="shared" si="503"/>
        <v>WAUKESHA COUNTY</v>
      </c>
      <c r="C3415" s="2" t="s">
        <v>2782</v>
      </c>
      <c r="D3415" s="2" t="str">
        <f>CLEAN("2722-08-01")</f>
        <v>2722-08-01</v>
      </c>
      <c r="E3415" s="3" t="str">
        <f t="shared" si="504"/>
        <v>MOORLAND ROAD</v>
      </c>
      <c r="F3415" s="3" t="str">
        <f>CLEAN("CTH ES TO CTH D")</f>
        <v>CTH ES TO CTH D</v>
      </c>
      <c r="G3415" s="3" t="str">
        <f>CLEAN("PE/FULL PS&amp;E-RE-PVRPLA")</f>
        <v>PE/FULL PS&amp;E-RE-PVRPLA</v>
      </c>
      <c r="H3415" s="2" t="str">
        <f t="shared" si="505"/>
        <v>CTH O</v>
      </c>
      <c r="I3415" s="2" t="str">
        <f t="shared" si="506"/>
        <v>206</v>
      </c>
    </row>
    <row r="3416" spans="1:9" x14ac:dyDescent="0.35">
      <c r="A3416" s="2" t="str">
        <f t="shared" si="502"/>
        <v>WAUKESHA</v>
      </c>
      <c r="B3416" s="2" t="str">
        <f t="shared" si="503"/>
        <v>WAUKESHA COUNTY</v>
      </c>
      <c r="C3416" s="2" t="s">
        <v>2683</v>
      </c>
      <c r="D3416" s="2" t="str">
        <f>CLEAN("2722-08-02")</f>
        <v>2722-08-02</v>
      </c>
      <c r="E3416" s="3" t="str">
        <f t="shared" si="504"/>
        <v>MOORLAND ROAD</v>
      </c>
      <c r="F3416" s="3" t="str">
        <f>CLEAN("CTH HH TO GRANGE AVENUE")</f>
        <v>CTH HH TO GRANGE AVENUE</v>
      </c>
      <c r="G3416" s="3" t="str">
        <f>CLEAN("PE/FULL PS&amp;E RE-PVRPLA")</f>
        <v>PE/FULL PS&amp;E RE-PVRPLA</v>
      </c>
      <c r="H3416" s="2" t="str">
        <f t="shared" si="505"/>
        <v>CTH O</v>
      </c>
      <c r="I3416" s="2" t="str">
        <f t="shared" si="506"/>
        <v>206</v>
      </c>
    </row>
    <row r="3417" spans="1:9" x14ac:dyDescent="0.35">
      <c r="A3417" s="2" t="str">
        <f t="shared" si="502"/>
        <v>WAUKESHA</v>
      </c>
      <c r="B3417" s="2" t="str">
        <f t="shared" si="503"/>
        <v>WAUKESHA COUNTY</v>
      </c>
      <c r="C3417" s="2" t="s">
        <v>3139</v>
      </c>
      <c r="D3417" s="2" t="str">
        <f>CLEAN("2722-08-21")</f>
        <v>2722-08-21</v>
      </c>
      <c r="E3417" s="3" t="str">
        <f t="shared" si="504"/>
        <v>MOORLAND ROAD</v>
      </c>
      <c r="F3417" s="3" t="str">
        <f>CLEAN("CTH ES TO CTH D")</f>
        <v>CTH ES TO CTH D</v>
      </c>
      <c r="G3417" s="3" t="str">
        <f>CLEAN("RE/PAVEMENT REPLACEMENT")</f>
        <v>RE/PAVEMENT REPLACEMENT</v>
      </c>
      <c r="H3417" s="2" t="str">
        <f t="shared" si="505"/>
        <v>CTH O</v>
      </c>
      <c r="I3417" s="2" t="str">
        <f t="shared" si="506"/>
        <v>206</v>
      </c>
    </row>
    <row r="3418" spans="1:9" x14ac:dyDescent="0.35">
      <c r="A3418" s="2" t="str">
        <f t="shared" si="502"/>
        <v>WAUKESHA</v>
      </c>
      <c r="B3418" s="2" t="str">
        <f t="shared" si="503"/>
        <v>WAUKESHA COUNTY</v>
      </c>
      <c r="C3418" s="2" t="s">
        <v>3145</v>
      </c>
      <c r="D3418" s="2" t="str">
        <f>CLEAN("2722-08-22")</f>
        <v>2722-08-22</v>
      </c>
      <c r="E3418" s="3" t="str">
        <f>CLEAN("NEW BERLIN - BROOKFIELD")</f>
        <v>NEW BERLIN - BROOKFIELD</v>
      </c>
      <c r="F3418" s="3" t="str">
        <f>CLEAN("CTH HH TO GRANGE AVENUE")</f>
        <v>CTH HH TO GRANGE AVENUE</v>
      </c>
      <c r="G3418" s="3" t="str">
        <f>CLEAN("RE/RECONSTRUCT NO ADD'L LANES")</f>
        <v>RE/RECONSTRUCT NO ADD'L LANES</v>
      </c>
      <c r="H3418" s="2" t="str">
        <f t="shared" si="505"/>
        <v>CTH O</v>
      </c>
      <c r="I3418" s="2" t="str">
        <f t="shared" si="506"/>
        <v>206</v>
      </c>
    </row>
    <row r="3419" spans="1:9" x14ac:dyDescent="0.35">
      <c r="A3419" s="2" t="str">
        <f t="shared" si="502"/>
        <v>WAUKESHA</v>
      </c>
      <c r="B3419" s="2" t="str">
        <f t="shared" si="503"/>
        <v>WAUKESHA COUNTY</v>
      </c>
      <c r="C3419" s="2" t="s">
        <v>2786</v>
      </c>
      <c r="D3419" s="2" t="str">
        <f>CLEAN("2753-02-03")</f>
        <v>2753-02-03</v>
      </c>
      <c r="E3419" s="3" t="str">
        <f>CLEAN("V BUTLER/SILVER SPRING DR")</f>
        <v>V BUTLER/SILVER SPRING DR</v>
      </c>
      <c r="F3419" s="3" t="str">
        <f>CLEAN("BRIDGE OVER MENOMONEE RIVER B67-085")</f>
        <v>BRIDGE OVER MENOMONEE RIVER B67-085</v>
      </c>
      <c r="G3419" s="3" t="str">
        <f>CLEAN("PE/FULL PS/BRRHB")</f>
        <v>PE/FULL PS/BRRHB</v>
      </c>
      <c r="H3419" s="2" t="str">
        <f>CLEAN("CTH VV")</f>
        <v>CTH VV</v>
      </c>
      <c r="I3419" s="2" t="str">
        <f>CLEAN("205")</f>
        <v>205</v>
      </c>
    </row>
    <row r="3420" spans="1:9" x14ac:dyDescent="0.35">
      <c r="A3420" s="2" t="str">
        <f t="shared" si="502"/>
        <v>WAUKESHA</v>
      </c>
      <c r="B3420" s="2" t="str">
        <f t="shared" si="503"/>
        <v>WAUKESHA COUNTY</v>
      </c>
      <c r="C3420" s="2" t="s">
        <v>2689</v>
      </c>
      <c r="D3420" s="2" t="str">
        <f>CLEAN("2756-05-01")</f>
        <v>2756-05-01</v>
      </c>
      <c r="E3420" s="3" t="str">
        <f>CLEAN("T MERTON  HARTLING RD")</f>
        <v>T MERTON  HARTLING RD</v>
      </c>
      <c r="F3420" s="3" t="str">
        <f>CLEAN("BARK RIVER BRIDGE B67-0210")</f>
        <v>BARK RIVER BRIDGE B67-0210</v>
      </c>
      <c r="G3420" s="3" t="str">
        <f>CLEAN("PE/FULL PS&amp;E ROW/BRRHB")</f>
        <v>PE/FULL PS&amp;E ROW/BRRHB</v>
      </c>
      <c r="H3420" s="2" t="str">
        <f>CLEAN("CTH EF")</f>
        <v>CTH EF</v>
      </c>
      <c r="I3420" s="2" t="str">
        <f>CLEAN("205")</f>
        <v>205</v>
      </c>
    </row>
    <row r="3421" spans="1:9" x14ac:dyDescent="0.35">
      <c r="A3421" s="2" t="str">
        <f t="shared" si="502"/>
        <v>WAUKESHA</v>
      </c>
      <c r="B3421" s="2" t="str">
        <f t="shared" si="503"/>
        <v>WAUKESHA COUNTY</v>
      </c>
      <c r="C3421" s="2" t="s">
        <v>2988</v>
      </c>
      <c r="D3421" s="2" t="str">
        <f>CLEAN("2761-05-01")</f>
        <v>2761-05-01</v>
      </c>
      <c r="E3421" s="3" t="str">
        <f>CLEAN("V HARTLAND NORTH SHORE DR")</f>
        <v>V HARTLAND NORTH SHORE DR</v>
      </c>
      <c r="F3421" s="3" t="str">
        <f>CLEAN("INTERSECTION WITH MAPLE AVE (CTH E)")</f>
        <v>INTERSECTION WITH MAPLE AVE (CTH E)</v>
      </c>
      <c r="G3421" s="3" t="str">
        <f>CLEAN("PE/STATE REVIEW ONLY")</f>
        <v>PE/STATE REVIEW ONLY</v>
      </c>
      <c r="H3421" s="2" t="str">
        <f>CLEAN("CTH KE")</f>
        <v>CTH KE</v>
      </c>
      <c r="I3421" s="2" t="str">
        <f>CLEAN("206")</f>
        <v>206</v>
      </c>
    </row>
    <row r="3422" spans="1:9" x14ac:dyDescent="0.35">
      <c r="A3422" s="2" t="str">
        <f t="shared" si="502"/>
        <v>WAUKESHA</v>
      </c>
      <c r="B3422" s="2" t="str">
        <f t="shared" si="503"/>
        <v>WAUKESHA COUNTY</v>
      </c>
      <c r="C3422" s="2" t="s">
        <v>2960</v>
      </c>
      <c r="D3422" s="2" t="str">
        <f>CLEAN("2773-05-01")</f>
        <v>2773-05-01</v>
      </c>
      <c r="E3422" s="3" t="str">
        <f>CLEAN("CTH D")</f>
        <v>CTH D</v>
      </c>
      <c r="F3422" s="3" t="str">
        <f>CLEAN("CALHOUN RD TO E COUNTY LINE")</f>
        <v>CALHOUN RD TO E COUNTY LINE</v>
      </c>
      <c r="G3422" s="3" t="str">
        <f>CLEAN("PE/RESURFACE")</f>
        <v>PE/RESURFACE</v>
      </c>
      <c r="H3422" s="2" t="str">
        <f>CLEAN("CTH D")</f>
        <v>CTH D</v>
      </c>
      <c r="I3422" s="2" t="str">
        <f>CLEAN("206")</f>
        <v>206</v>
      </c>
    </row>
    <row r="3423" spans="1:9" x14ac:dyDescent="0.35">
      <c r="A3423" s="2" t="str">
        <f t="shared" si="502"/>
        <v>WAUKESHA</v>
      </c>
      <c r="B3423" s="2" t="str">
        <f t="shared" si="503"/>
        <v>WAUKESHA COUNTY</v>
      </c>
      <c r="C3423" s="2" t="s">
        <v>2714</v>
      </c>
      <c r="D3423" s="2" t="str">
        <f>CLEAN("2780-03-03")</f>
        <v>2780-03-03</v>
      </c>
      <c r="E3423" s="3" t="str">
        <f>CLEAN("C WAUKESHA  PEWAUKEE RD")</f>
        <v>C WAUKESHA  PEWAUKEE RD</v>
      </c>
      <c r="F3423" s="3" t="str">
        <f>CLEAN("INTERSECTION WITH NORTHVIEW RD")</f>
        <v>INTERSECTION WITH NORTHVIEW RD</v>
      </c>
      <c r="G3423" s="3" t="str">
        <f>CLEAN("PE/FULL PS&amp;E ROW/RECONSTRUCT")</f>
        <v>PE/FULL PS&amp;E ROW/RECONSTRUCT</v>
      </c>
      <c r="H3423" s="2" t="str">
        <f>CLEAN("CTH J")</f>
        <v>CTH J</v>
      </c>
      <c r="I3423" s="2" t="str">
        <f>CLEAN("206")</f>
        <v>206</v>
      </c>
    </row>
    <row r="3424" spans="1:9" x14ac:dyDescent="0.35">
      <c r="A3424" s="2" t="str">
        <f t="shared" si="502"/>
        <v>WAUKESHA</v>
      </c>
      <c r="B3424" s="2" t="str">
        <f t="shared" si="503"/>
        <v>WAUKESHA COUNTY</v>
      </c>
      <c r="C3424" s="2" t="s">
        <v>2985</v>
      </c>
      <c r="D3424" s="2" t="str">
        <f>CLEAN("2782-06-01")</f>
        <v>2782-06-01</v>
      </c>
      <c r="E3424" s="3" t="str">
        <f>CLEAN("SIGNAL REPLACEMENT &amp; FIBER INSTALL")</f>
        <v>SIGNAL REPLACEMENT &amp; FIBER INSTALL</v>
      </c>
      <c r="F3424" s="3" t="str">
        <f>CLEAN("CTH VV TO CTH W")</f>
        <v>CTH VV TO CTH W</v>
      </c>
      <c r="G3424" s="3" t="str">
        <f>CLEAN("PE/STATE REVIEW ONLY")</f>
        <v>PE/STATE REVIEW ONLY</v>
      </c>
      <c r="H3424" s="2" t="str">
        <f>CLEAN("CTH YY")</f>
        <v>CTH YY</v>
      </c>
      <c r="I3424" s="2" t="str">
        <f>CLEAN("206")</f>
        <v>206</v>
      </c>
    </row>
    <row r="3425" spans="1:9" x14ac:dyDescent="0.35">
      <c r="A3425" s="2" t="str">
        <f t="shared" si="502"/>
        <v>WAUKESHA</v>
      </c>
      <c r="B3425" s="2" t="str">
        <f t="shared" si="503"/>
        <v>WAUKESHA COUNTY</v>
      </c>
      <c r="C3425" s="2" t="s">
        <v>2982</v>
      </c>
      <c r="D3425" s="2" t="str">
        <f>CLEAN("2818-05-01")</f>
        <v>2818-05-01</v>
      </c>
      <c r="E3425" s="3" t="str">
        <f>CLEAN("V MUKWONAGO  CTH NN")</f>
        <v>V MUKWONAGO  CTH NN</v>
      </c>
      <c r="F3425" s="3" t="str">
        <f>CLEAN("CTH EE TO STH 83")</f>
        <v>CTH EE TO STH 83</v>
      </c>
      <c r="G3425" s="3" t="str">
        <f>CLEAN("PE/STATE REVIEW ONLY")</f>
        <v>PE/STATE REVIEW ONLY</v>
      </c>
      <c r="H3425" s="2" t="str">
        <f>CLEAN("CTH NN")</f>
        <v>CTH NN</v>
      </c>
      <c r="I3425" s="2" t="str">
        <f>CLEAN("206")</f>
        <v>206</v>
      </c>
    </row>
    <row r="3426" spans="1:9" x14ac:dyDescent="0.35">
      <c r="A3426" s="2" t="str">
        <f t="shared" si="502"/>
        <v>WAUKESHA</v>
      </c>
      <c r="B3426" s="2" t="str">
        <f t="shared" si="503"/>
        <v>WAUKESHA COUNTY</v>
      </c>
      <c r="C3426" s="2" t="s">
        <v>991</v>
      </c>
      <c r="D3426" s="2" t="str">
        <f>CLEAN("1060-47-70")</f>
        <v>1060-47-70</v>
      </c>
      <c r="E3426" s="3" t="str">
        <f>CLEAN("IH 94 EAST WEST FREEWAY")</f>
        <v>IH 94 EAST WEST FREEWAY</v>
      </c>
      <c r="F3426" s="3" t="str">
        <f>CLEAN("STH 83 TO STH 16")</f>
        <v>STH 83 TO STH 16</v>
      </c>
      <c r="G3426" s="3" t="str">
        <f>CLEAN("CONST/RESURFACE")</f>
        <v>CONST/RESURFACE</v>
      </c>
      <c r="H3426" s="2" t="str">
        <f>CLEAN("IH  094")</f>
        <v>IH  094</v>
      </c>
      <c r="I3426" s="2" t="str">
        <f>CLEAN("303")</f>
        <v>303</v>
      </c>
    </row>
    <row r="3427" spans="1:9" x14ac:dyDescent="0.35">
      <c r="A3427" s="2" t="str">
        <f t="shared" si="502"/>
        <v>WAUKESHA</v>
      </c>
      <c r="B3427" s="2" t="str">
        <f t="shared" si="503"/>
        <v>WAUKESHA COUNTY</v>
      </c>
      <c r="C3427" s="2" t="s">
        <v>1078</v>
      </c>
      <c r="D3427" s="2" t="str">
        <f>CLEAN("2450-06-71")</f>
        <v>2450-06-71</v>
      </c>
      <c r="E3427" s="3" t="str">
        <f>CLEAN("V LISBON  REDFORD BLVD")</f>
        <v>V LISBON  REDFORD BLVD</v>
      </c>
      <c r="F3427" s="3" t="str">
        <f>CLEAN("INTERSECTION WITH LISBON RD")</f>
        <v>INTERSECTION WITH LISBON RD</v>
      </c>
      <c r="G3427" s="3" t="str">
        <f>CLEAN("CONST/TRAFFIC SIGNALS")</f>
        <v>CONST/TRAFFIC SIGNALS</v>
      </c>
      <c r="H3427" s="2" t="str">
        <f>CLEAN("CTH F")</f>
        <v>CTH F</v>
      </c>
      <c r="I3427" s="2" t="str">
        <f>CLEAN("206")</f>
        <v>206</v>
      </c>
    </row>
    <row r="3428" spans="1:9" x14ac:dyDescent="0.35">
      <c r="A3428" s="2" t="str">
        <f t="shared" si="502"/>
        <v>WAUKESHA</v>
      </c>
      <c r="B3428" s="2" t="str">
        <f t="shared" si="503"/>
        <v>WAUKESHA COUNTY</v>
      </c>
      <c r="C3428" s="2" t="s">
        <v>2962</v>
      </c>
      <c r="D3428" s="2" t="str">
        <f>CLEAN("2717-04-00")</f>
        <v>2717-04-00</v>
      </c>
      <c r="E3428" s="3" t="str">
        <f>CLEAN("GRANDVIEW BLVD")</f>
        <v>GRANDVIEW BLVD</v>
      </c>
      <c r="F3428" s="3" t="str">
        <f>CLEAN("NORTHVIEW ROAD TO IH-94")</f>
        <v>NORTHVIEW ROAD TO IH-94</v>
      </c>
      <c r="G3428" s="3" t="str">
        <f>CLEAN("PE/RESURFACE")</f>
        <v>PE/RESURFACE</v>
      </c>
      <c r="H3428" s="2" t="str">
        <f>CLEAN("CTH T")</f>
        <v>CTH T</v>
      </c>
      <c r="I3428" s="2" t="str">
        <f>CLEAN("206")</f>
        <v>206</v>
      </c>
    </row>
    <row r="3429" spans="1:9" x14ac:dyDescent="0.35">
      <c r="A3429" s="2" t="str">
        <f t="shared" si="502"/>
        <v>WAUKESHA</v>
      </c>
      <c r="B3429" s="2" t="str">
        <f t="shared" si="503"/>
        <v>WAUKESHA COUNTY</v>
      </c>
      <c r="C3429" s="2" t="s">
        <v>979</v>
      </c>
      <c r="D3429" s="2" t="str">
        <f>CLEAN("2717-04-70")</f>
        <v>2717-04-70</v>
      </c>
      <c r="E3429" s="3" t="str">
        <f>CLEAN("C WAUKESHA GRANDVIEW BLVD")</f>
        <v>C WAUKESHA GRANDVIEW BLVD</v>
      </c>
      <c r="F3429" s="3" t="str">
        <f>CLEAN("NORTHVIEW ROAD TO IH-94")</f>
        <v>NORTHVIEW ROAD TO IH-94</v>
      </c>
      <c r="G3429" s="3" t="str">
        <f>CLEAN("CONST/RESURFACE")</f>
        <v>CONST/RESURFACE</v>
      </c>
      <c r="H3429" s="2" t="str">
        <f>CLEAN("CTH T")</f>
        <v>CTH T</v>
      </c>
      <c r="I3429" s="2" t="str">
        <f>CLEAN("206")</f>
        <v>206</v>
      </c>
    </row>
    <row r="3430" spans="1:9" x14ac:dyDescent="0.35">
      <c r="A3430" s="2" t="str">
        <f t="shared" si="502"/>
        <v>WAUKESHA</v>
      </c>
      <c r="B3430" s="2" t="str">
        <f t="shared" si="503"/>
        <v>WAUKESHA COUNTY</v>
      </c>
      <c r="C3430" s="2" t="s">
        <v>2855</v>
      </c>
      <c r="D3430" s="2" t="str">
        <f>CLEAN("2718-22-02")</f>
        <v>2718-22-02</v>
      </c>
      <c r="E3430" s="3" t="str">
        <f>CLEAN("SIGNAL CONTROLLER REPLACEMENT")</f>
        <v>SIGNAL CONTROLLER REPLACEMENT</v>
      </c>
      <c r="F3430" s="3" t="str">
        <f>CLEAN("COUNTY WIDE PER APPLICATION")</f>
        <v>COUNTY WIDE PER APPLICATION</v>
      </c>
      <c r="G3430" s="3" t="str">
        <f>CLEAN("PE/FULL PSE/MISC")</f>
        <v>PE/FULL PSE/MISC</v>
      </c>
      <c r="H3430" s="2" t="str">
        <f>CLEAN("NON HWY")</f>
        <v>NON HWY</v>
      </c>
      <c r="I3430" s="2" t="str">
        <f>CLEAN("211")</f>
        <v>211</v>
      </c>
    </row>
    <row r="3431" spans="1:9" x14ac:dyDescent="0.35">
      <c r="A3431" s="2" t="str">
        <f t="shared" si="502"/>
        <v>WAUKESHA</v>
      </c>
      <c r="B3431" s="2" t="str">
        <f t="shared" si="503"/>
        <v>WAUKESHA COUNTY</v>
      </c>
      <c r="C3431" s="2" t="s">
        <v>3320</v>
      </c>
      <c r="D3431" s="2" t="str">
        <f>CLEAN("2722-04-51")</f>
        <v>2722-04-51</v>
      </c>
      <c r="E3431" s="3" t="str">
        <f>CLEAN("C NEW BERLIN  MOORLAND ROAD")</f>
        <v>C NEW BERLIN  MOORLAND ROAD</v>
      </c>
      <c r="F3431" s="3" t="str">
        <f>CLEAN("CTH D TO STH 59")</f>
        <v>CTH D TO STH 59</v>
      </c>
      <c r="G3431" s="3" t="str">
        <f>CLEAN("RR/XING SIGNALS/UPRR DOT 177286L")</f>
        <v>RR/XING SIGNALS/UPRR DOT 177286L</v>
      </c>
      <c r="H3431" s="2" t="str">
        <f>CLEAN("CTH O")</f>
        <v>CTH O</v>
      </c>
      <c r="I3431" s="2" t="str">
        <f>CLEAN("206")</f>
        <v>206</v>
      </c>
    </row>
    <row r="3432" spans="1:9" x14ac:dyDescent="0.35">
      <c r="A3432" s="2" t="str">
        <f t="shared" si="502"/>
        <v>WAUKESHA</v>
      </c>
      <c r="B3432" s="2" t="str">
        <f t="shared" si="503"/>
        <v>WAUKESHA COUNTY</v>
      </c>
      <c r="C3432" s="2" t="s">
        <v>656</v>
      </c>
      <c r="D3432" s="2" t="str">
        <f>CLEAN("2722-04-71")</f>
        <v>2722-04-71</v>
      </c>
      <c r="E3432" s="3" t="str">
        <f>CLEAN("C NEW BERLIN  MOORLAND ROAD")</f>
        <v>C NEW BERLIN  MOORLAND ROAD</v>
      </c>
      <c r="F3432" s="3" t="str">
        <f>CLEAN("CTH D TO STH 59")</f>
        <v>CTH D TO STH 59</v>
      </c>
      <c r="G3432" s="3" t="str">
        <f>CLEAN("CONST/PAVEMENT REPLACEMENT")</f>
        <v>CONST/PAVEMENT REPLACEMENT</v>
      </c>
      <c r="H3432" s="2" t="str">
        <f>CLEAN("CTH O")</f>
        <v>CTH O</v>
      </c>
      <c r="I3432" s="2" t="str">
        <f>CLEAN("206")</f>
        <v>206</v>
      </c>
    </row>
    <row r="3433" spans="1:9" x14ac:dyDescent="0.35">
      <c r="A3433" s="2" t="str">
        <f t="shared" si="502"/>
        <v>WAUKESHA</v>
      </c>
      <c r="B3433" s="2" t="str">
        <f t="shared" si="503"/>
        <v>WAUKESHA COUNTY</v>
      </c>
      <c r="C3433" s="2" t="s">
        <v>970</v>
      </c>
      <c r="D3433" s="2" t="str">
        <f>CLEAN("2722-07-71")</f>
        <v>2722-07-71</v>
      </c>
      <c r="E3433" s="3" t="str">
        <f>CLEAN("MOORLAND ROAD")</f>
        <v>MOORLAND ROAD</v>
      </c>
      <c r="F3433" s="3" t="str">
        <f>CLEAN("I-94 TO W BLUEMOUND ROAD")</f>
        <v>I-94 TO W BLUEMOUND ROAD</v>
      </c>
      <c r="G3433" s="3" t="str">
        <f>CLEAN("CONST/RESURFACE")</f>
        <v>CONST/RESURFACE</v>
      </c>
      <c r="H3433" s="2" t="str">
        <f>CLEAN("CTH O")</f>
        <v>CTH O</v>
      </c>
      <c r="I3433" s="2" t="str">
        <f>CLEAN("206")</f>
        <v>206</v>
      </c>
    </row>
    <row r="3434" spans="1:9" x14ac:dyDescent="0.35">
      <c r="A3434" s="2" t="str">
        <f t="shared" si="502"/>
        <v>WAUKESHA</v>
      </c>
      <c r="B3434" s="2" t="str">
        <f t="shared" si="503"/>
        <v>WAUKESHA COUNTY</v>
      </c>
      <c r="C3434" s="2" t="s">
        <v>934</v>
      </c>
      <c r="D3434" s="2" t="str">
        <f>CLEAN("2722-07-72")</f>
        <v>2722-07-72</v>
      </c>
      <c r="E3434" s="3" t="str">
        <f>CLEAN("C NEW BERLIN MOORLAND ROAD")</f>
        <v>C NEW BERLIN MOORLAND ROAD</v>
      </c>
      <c r="F3434" s="3" t="str">
        <f>CLEAN("W BELOIT ROAD TO W NATIONAL AVE")</f>
        <v>W BELOIT ROAD TO W NATIONAL AVE</v>
      </c>
      <c r="G3434" s="3" t="str">
        <f>CLEAN("CONST/REPLACEMENT")</f>
        <v>CONST/REPLACEMENT</v>
      </c>
      <c r="H3434" s="2" t="str">
        <f>CLEAN("CTH O")</f>
        <v>CTH O</v>
      </c>
      <c r="I3434" s="2" t="str">
        <f>CLEAN("206")</f>
        <v>206</v>
      </c>
    </row>
    <row r="3435" spans="1:9" x14ac:dyDescent="0.35">
      <c r="A3435" s="2" t="str">
        <f t="shared" si="502"/>
        <v>WAUKESHA</v>
      </c>
      <c r="B3435" s="2" t="str">
        <f t="shared" si="503"/>
        <v>WAUKESHA COUNTY</v>
      </c>
      <c r="C3435" s="2" t="s">
        <v>657</v>
      </c>
      <c r="D3435" s="2" t="str">
        <f>CLEAN("2722-08-71")</f>
        <v>2722-08-71</v>
      </c>
      <c r="E3435" s="3" t="str">
        <f>CLEAN("C NEW BERLIN MOORLAND ROAD")</f>
        <v>C NEW BERLIN MOORLAND ROAD</v>
      </c>
      <c r="F3435" s="3" t="str">
        <f>CLEAN("CTH ES TO CTH D")</f>
        <v>CTH ES TO CTH D</v>
      </c>
      <c r="G3435" s="3" t="str">
        <f>CLEAN("CONST/PAVEMENT REPLACEMENT")</f>
        <v>CONST/PAVEMENT REPLACEMENT</v>
      </c>
      <c r="H3435" s="2" t="str">
        <f>CLEAN("CTH O")</f>
        <v>CTH O</v>
      </c>
      <c r="I3435" s="2" t="str">
        <f>CLEAN("206")</f>
        <v>206</v>
      </c>
    </row>
    <row r="3436" spans="1:9" x14ac:dyDescent="0.35">
      <c r="A3436" s="2" t="str">
        <f t="shared" ref="A3436:A3464" si="507">CLEAN("WAUKESHA")</f>
        <v>WAUKESHA</v>
      </c>
      <c r="B3436" s="2" t="str">
        <f t="shared" si="503"/>
        <v>WAUKESHA COUNTY</v>
      </c>
      <c r="C3436" s="2" t="s">
        <v>487</v>
      </c>
      <c r="D3436" s="2" t="str">
        <f>CLEAN("2753-02-73")</f>
        <v>2753-02-73</v>
      </c>
      <c r="E3436" s="3" t="str">
        <f>CLEAN("V BUTLER/SILVER SPRING DR")</f>
        <v>V BUTLER/SILVER SPRING DR</v>
      </c>
      <c r="F3436" s="3" t="str">
        <f>CLEAN("BRIDGE OVER MENOMONEE RIVER B67-085")</f>
        <v>BRIDGE OVER MENOMONEE RIVER B67-085</v>
      </c>
      <c r="G3436" s="3" t="str">
        <f>CLEAN("CONST/BRRHB")</f>
        <v>CONST/BRRHB</v>
      </c>
      <c r="H3436" s="2" t="str">
        <f>CLEAN("CTH VV")</f>
        <v>CTH VV</v>
      </c>
      <c r="I3436" s="2" t="str">
        <f>CLEAN("205")</f>
        <v>205</v>
      </c>
    </row>
    <row r="3437" spans="1:9" x14ac:dyDescent="0.35">
      <c r="A3437" s="2" t="str">
        <f t="shared" si="507"/>
        <v>WAUKESHA</v>
      </c>
      <c r="B3437" s="2" t="str">
        <f t="shared" si="503"/>
        <v>WAUKESHA COUNTY</v>
      </c>
      <c r="C3437" s="2" t="s">
        <v>2608</v>
      </c>
      <c r="D3437" s="2" t="str">
        <f>CLEAN("2753-08-00")</f>
        <v>2753-08-00</v>
      </c>
      <c r="E3437" s="3" t="str">
        <f>CLEAN("CTH VV")</f>
        <v>CTH VV</v>
      </c>
      <c r="F3437" s="3" t="str">
        <f>CLEAN("INTERSECTION WITH CTH YY")</f>
        <v>INTERSECTION WITH CTH YY</v>
      </c>
      <c r="G3437" s="3" t="str">
        <f>CLEAN("PE- FULL PS&amp;E/HSIP")</f>
        <v>PE- FULL PS&amp;E/HSIP</v>
      </c>
      <c r="H3437" s="2" t="str">
        <f>CLEAN("CTH VV")</f>
        <v>CTH VV</v>
      </c>
      <c r="I3437" s="2" t="str">
        <f>CLEAN("206")</f>
        <v>206</v>
      </c>
    </row>
    <row r="3438" spans="1:9" x14ac:dyDescent="0.35">
      <c r="A3438" s="2" t="str">
        <f t="shared" si="507"/>
        <v>WAUKESHA</v>
      </c>
      <c r="B3438" s="2" t="str">
        <f t="shared" si="503"/>
        <v>WAUKESHA COUNTY</v>
      </c>
      <c r="C3438" s="2" t="s">
        <v>2820</v>
      </c>
      <c r="D3438" s="2" t="str">
        <f>CLEAN("2754-05-00")</f>
        <v>2754-05-00</v>
      </c>
      <c r="E3438" s="3" t="str">
        <f>CLEAN("CTH F")</f>
        <v>CTH F</v>
      </c>
      <c r="F3438" s="3" t="str">
        <f>CLEAN("INTERSECTION WITH LINDSAY ROAD")</f>
        <v>INTERSECTION WITH LINDSAY ROAD</v>
      </c>
      <c r="G3438" s="3" t="str">
        <f>CLEAN("PE/FULL PSE HSIP")</f>
        <v>PE/FULL PSE HSIP</v>
      </c>
      <c r="H3438" s="2" t="str">
        <f>CLEAN("CTH F")</f>
        <v>CTH F</v>
      </c>
      <c r="I3438" s="2" t="str">
        <f>CLEAN("206")</f>
        <v>206</v>
      </c>
    </row>
    <row r="3439" spans="1:9" x14ac:dyDescent="0.35">
      <c r="A3439" s="2" t="str">
        <f t="shared" si="507"/>
        <v>WAUKESHA</v>
      </c>
      <c r="B3439" s="2" t="str">
        <f t="shared" si="503"/>
        <v>WAUKESHA COUNTY</v>
      </c>
      <c r="C3439" s="2" t="s">
        <v>483</v>
      </c>
      <c r="D3439" s="2" t="str">
        <f>CLEAN("2756-05-71")</f>
        <v>2756-05-71</v>
      </c>
      <c r="E3439" s="3" t="str">
        <f>CLEAN("T MERTON  HARTLING RD")</f>
        <v>T MERTON  HARTLING RD</v>
      </c>
      <c r="F3439" s="3" t="str">
        <f>CLEAN("BARK RIVER BRIDGE B67-0210")</f>
        <v>BARK RIVER BRIDGE B67-0210</v>
      </c>
      <c r="G3439" s="3" t="str">
        <f>CLEAN("CONST/BRRHB")</f>
        <v>CONST/BRRHB</v>
      </c>
      <c r="H3439" s="2" t="str">
        <f>CLEAN("CTH EF")</f>
        <v>CTH EF</v>
      </c>
      <c r="I3439" s="2" t="str">
        <f>CLEAN("205")</f>
        <v>205</v>
      </c>
    </row>
    <row r="3440" spans="1:9" x14ac:dyDescent="0.35">
      <c r="A3440" s="2" t="str">
        <f t="shared" si="507"/>
        <v>WAUKESHA</v>
      </c>
      <c r="B3440" s="2" t="str">
        <f t="shared" si="503"/>
        <v>WAUKESHA COUNTY</v>
      </c>
      <c r="C3440" s="2" t="s">
        <v>2735</v>
      </c>
      <c r="D3440" s="2" t="str">
        <f>CLEAN("2758-05-00")</f>
        <v>2758-05-00</v>
      </c>
      <c r="E3440" s="3" t="str">
        <f>CLEAN("C PEWAUKEE  MAIN ST/GRANDVIEW BLVD")</f>
        <v>C PEWAUKEE  MAIN ST/GRANDVIEW BLVD</v>
      </c>
      <c r="F3440" s="3" t="str">
        <f>CLEAN("INTERSECTION WITH BLUEMOUND RD")</f>
        <v>INTERSECTION WITH BLUEMOUND RD</v>
      </c>
      <c r="G3440" s="3" t="str">
        <f>CLEAN("PE/FULL PS&amp;E/MISC")</f>
        <v>PE/FULL PS&amp;E/MISC</v>
      </c>
      <c r="H3440" s="2" t="str">
        <f>CLEAN("CTH T")</f>
        <v>CTH T</v>
      </c>
      <c r="I3440" s="2" t="str">
        <f t="shared" ref="I3440:I3447" si="508">CLEAN("206")</f>
        <v>206</v>
      </c>
    </row>
    <row r="3441" spans="1:9" x14ac:dyDescent="0.35">
      <c r="A3441" s="2" t="str">
        <f t="shared" si="507"/>
        <v>WAUKESHA</v>
      </c>
      <c r="B3441" s="2" t="str">
        <f t="shared" si="503"/>
        <v>WAUKESHA COUNTY</v>
      </c>
      <c r="C3441" s="2" t="s">
        <v>816</v>
      </c>
      <c r="D3441" s="2" t="str">
        <f>CLEAN("2759-03-70")</f>
        <v>2759-03-70</v>
      </c>
      <c r="E3441" s="3" t="str">
        <f>CLEAN("NORTH AVENUE")</f>
        <v>NORTH AVENUE</v>
      </c>
      <c r="F3441" s="3" t="str">
        <f>CLEAN("CALHOUN ROAD TO E COUNTY LINE")</f>
        <v>CALHOUN ROAD TO E COUNTY LINE</v>
      </c>
      <c r="G3441" s="3" t="str">
        <f>CLEAN("CONST/RECONSTRUCTION  EXPANSION")</f>
        <v>CONST/RECONSTRUCTION  EXPANSION</v>
      </c>
      <c r="H3441" s="2" t="str">
        <f>CLEAN("CTH M")</f>
        <v>CTH M</v>
      </c>
      <c r="I3441" s="2" t="str">
        <f t="shared" si="508"/>
        <v>206</v>
      </c>
    </row>
    <row r="3442" spans="1:9" x14ac:dyDescent="0.35">
      <c r="A3442" s="2" t="str">
        <f t="shared" si="507"/>
        <v>WAUKESHA</v>
      </c>
      <c r="B3442" s="2" t="str">
        <f t="shared" si="503"/>
        <v>WAUKESHA COUNTY</v>
      </c>
      <c r="C3442" s="2" t="s">
        <v>3316</v>
      </c>
      <c r="D3442" s="2" t="str">
        <f>CLEAN("2766-00-51")</f>
        <v>2766-00-51</v>
      </c>
      <c r="E3442" s="3" t="str">
        <f>CLEAN("NORTH AVENUE")</f>
        <v>NORTH AVENUE</v>
      </c>
      <c r="F3442" s="3" t="str">
        <f>CLEAN("CANADIAN PACIFIC &amp; 390516T  695498T")</f>
        <v>CANADIAN PACIFIC &amp; 390516T  695498T</v>
      </c>
      <c r="G3442" s="3" t="str">
        <f>CLEAN("RR/UPGRADE RR WARNING DEVICES")</f>
        <v>RR/UPGRADE RR WARNING DEVICES</v>
      </c>
      <c r="H3442" s="2" t="str">
        <f>CLEAN("CTH M")</f>
        <v>CTH M</v>
      </c>
      <c r="I3442" s="2" t="str">
        <f t="shared" si="508"/>
        <v>206</v>
      </c>
    </row>
    <row r="3443" spans="1:9" x14ac:dyDescent="0.35">
      <c r="A3443" s="2" t="str">
        <f t="shared" si="507"/>
        <v>WAUKESHA</v>
      </c>
      <c r="B3443" s="2" t="str">
        <f t="shared" si="503"/>
        <v>WAUKESHA COUNTY</v>
      </c>
      <c r="C3443" s="2" t="s">
        <v>955</v>
      </c>
      <c r="D3443" s="2" t="str">
        <f>CLEAN("2773-05-71")</f>
        <v>2773-05-71</v>
      </c>
      <c r="E3443" s="3" t="str">
        <f>CLEAN("CTH D")</f>
        <v>CTH D</v>
      </c>
      <c r="F3443" s="3" t="str">
        <f>CLEAN("CALHOUN ROAD TO E COUNTY LINE")</f>
        <v>CALHOUN ROAD TO E COUNTY LINE</v>
      </c>
      <c r="G3443" s="3" t="str">
        <f>CLEAN("CONST/RESURFACE")</f>
        <v>CONST/RESURFACE</v>
      </c>
      <c r="H3443" s="2" t="str">
        <f>CLEAN("CTH D")</f>
        <v>CTH D</v>
      </c>
      <c r="I3443" s="2" t="str">
        <f t="shared" si="508"/>
        <v>206</v>
      </c>
    </row>
    <row r="3444" spans="1:9" x14ac:dyDescent="0.35">
      <c r="A3444" s="2" t="str">
        <f t="shared" si="507"/>
        <v>WAUKESHA</v>
      </c>
      <c r="B3444" s="2" t="str">
        <f t="shared" si="503"/>
        <v>WAUKESHA COUNTY</v>
      </c>
      <c r="C3444" s="2" t="s">
        <v>25</v>
      </c>
      <c r="D3444" s="2" t="str">
        <f>CLEAN("2774-01-70")</f>
        <v>2774-01-70</v>
      </c>
      <c r="E3444" s="3" t="str">
        <f>CLEAN("CTH VV")</f>
        <v>CTH VV</v>
      </c>
      <c r="F3444" s="3" t="str">
        <f>CLEAN("INTERSECTION WITH CTH E")</f>
        <v>INTERSECTION WITH CTH E</v>
      </c>
      <c r="G3444" s="3" t="str">
        <f>CLEAN("CNST/INTERSECTION MODIFICATION/DAAR")</f>
        <v>CNST/INTERSECTION MODIFICATION/DAAR</v>
      </c>
      <c r="H3444" s="2" t="str">
        <f>CLEAN("CTH VV")</f>
        <v>CTH VV</v>
      </c>
      <c r="I3444" s="2" t="str">
        <f t="shared" si="508"/>
        <v>206</v>
      </c>
    </row>
    <row r="3445" spans="1:9" x14ac:dyDescent="0.35">
      <c r="A3445" s="2" t="str">
        <f t="shared" si="507"/>
        <v>WAUKESHA</v>
      </c>
      <c r="B3445" s="2" t="str">
        <f t="shared" si="503"/>
        <v>WAUKESHA COUNTY</v>
      </c>
      <c r="C3445" s="2" t="s">
        <v>2672</v>
      </c>
      <c r="D3445" s="2" t="str">
        <f>CLEAN("2779-05-00")</f>
        <v>2779-05-00</v>
      </c>
      <c r="E3445" s="3" t="str">
        <f>CLEAN("C MUSKEGO  RACINE AVENUE")</f>
        <v>C MUSKEGO  RACINE AVENUE</v>
      </c>
      <c r="F3445" s="3" t="str">
        <f>CLEAN("CTH L TO CTH HH")</f>
        <v>CTH L TO CTH HH</v>
      </c>
      <c r="G3445" s="3" t="str">
        <f>CLEAN("PE/FULL PS &amp; E ROW/RCND20")</f>
        <v>PE/FULL PS &amp; E ROW/RCND20</v>
      </c>
      <c r="H3445" s="2" t="str">
        <f>CLEAN("CTH Y")</f>
        <v>CTH Y</v>
      </c>
      <c r="I3445" s="2" t="str">
        <f t="shared" si="508"/>
        <v>206</v>
      </c>
    </row>
    <row r="3446" spans="1:9" x14ac:dyDescent="0.35">
      <c r="A3446" s="2" t="str">
        <f t="shared" si="507"/>
        <v>WAUKESHA</v>
      </c>
      <c r="B3446" s="2" t="str">
        <f t="shared" si="503"/>
        <v>WAUKESHA COUNTY</v>
      </c>
      <c r="C3446" s="2" t="s">
        <v>809</v>
      </c>
      <c r="D3446" s="2" t="str">
        <f>CLEAN("2782-03-76")</f>
        <v>2782-03-76</v>
      </c>
      <c r="E3446" s="3" t="str">
        <f>CLEAN("CTH O")</f>
        <v>CTH O</v>
      </c>
      <c r="F3446" s="3" t="str">
        <f>CLEAN("IH-43 WB RAMP TO BELOIT ROAD")</f>
        <v>IH-43 WB RAMP TO BELOIT ROAD</v>
      </c>
      <c r="G3446" s="3" t="str">
        <f>CLEAN("CONST/RECONSTRUCT WITH NO ADDL LANE")</f>
        <v>CONST/RECONSTRUCT WITH NO ADDL LANE</v>
      </c>
      <c r="H3446" s="2" t="str">
        <f>CLEAN("CTH O")</f>
        <v>CTH O</v>
      </c>
      <c r="I3446" s="2" t="str">
        <f t="shared" si="508"/>
        <v>206</v>
      </c>
    </row>
    <row r="3447" spans="1:9" x14ac:dyDescent="0.35">
      <c r="A3447" s="2" t="str">
        <f t="shared" si="507"/>
        <v>WAUKESHA</v>
      </c>
      <c r="B3447" s="2" t="str">
        <f t="shared" si="503"/>
        <v>WAUKESHA COUNTY</v>
      </c>
      <c r="C3447" s="2" t="s">
        <v>2736</v>
      </c>
      <c r="D3447" s="2" t="str">
        <f>CLEAN("2791-02-00")</f>
        <v>2791-02-00</v>
      </c>
      <c r="E3447" s="3" t="str">
        <f>CLEAN("C WAUKESHA  W SUNSET DR")</f>
        <v>C WAUKESHA  W SUNSET DR</v>
      </c>
      <c r="F3447" s="3" t="str">
        <f>CLEAN("INTERSECTION WITH CTH X")</f>
        <v>INTERSECTION WITH CTH X</v>
      </c>
      <c r="G3447" s="3" t="str">
        <f>CLEAN("PE/FULL PS&amp;E/MISC")</f>
        <v>PE/FULL PS&amp;E/MISC</v>
      </c>
      <c r="H3447" s="2" t="str">
        <f>CLEAN("CTH D")</f>
        <v>CTH D</v>
      </c>
      <c r="I3447" s="2" t="str">
        <f t="shared" si="508"/>
        <v>206</v>
      </c>
    </row>
    <row r="3448" spans="1:9" x14ac:dyDescent="0.35">
      <c r="A3448" s="2" t="str">
        <f t="shared" si="507"/>
        <v>WAUKESHA</v>
      </c>
      <c r="B3448" s="2" t="str">
        <f t="shared" si="503"/>
        <v>WAUKESHA COUNTY</v>
      </c>
      <c r="C3448" s="2" t="s">
        <v>377</v>
      </c>
      <c r="D3448" s="2" t="str">
        <f>CLEAN("2794-05-70")</f>
        <v>2794-05-70</v>
      </c>
      <c r="E3448" s="3" t="str">
        <f>CLEAN("CTH XX")</f>
        <v>CTH XX</v>
      </c>
      <c r="F3448" s="3" t="str">
        <f>CLEAN("BRIDGE OVER PEBBLE BROOK B-67-0195")</f>
        <v>BRIDGE OVER PEBBLE BROOK B-67-0195</v>
      </c>
      <c r="G3448" s="3" t="str">
        <f>CLEAN("CONST/BRIDGE DECK OVERLAY")</f>
        <v>CONST/BRIDGE DECK OVERLAY</v>
      </c>
      <c r="H3448" s="2" t="str">
        <f>CLEAN("CTH XX")</f>
        <v>CTH XX</v>
      </c>
      <c r="I3448" s="2" t="str">
        <f>CLEAN("205")</f>
        <v>205</v>
      </c>
    </row>
    <row r="3449" spans="1:9" x14ac:dyDescent="0.35">
      <c r="A3449" s="2" t="str">
        <f t="shared" si="507"/>
        <v>WAUKESHA</v>
      </c>
      <c r="B3449" s="2" t="str">
        <f t="shared" si="503"/>
        <v>WAUKESHA COUNTY</v>
      </c>
      <c r="C3449" s="2" t="s">
        <v>2841</v>
      </c>
      <c r="D3449" s="2" t="str">
        <f>CLEAN("3773-05-00")</f>
        <v>3773-05-00</v>
      </c>
      <c r="E3449" s="3" t="str">
        <f>CLEAN("T MUKWONAGO  CTH I")</f>
        <v>T MUKWONAGO  CTH I</v>
      </c>
      <c r="F3449" s="3" t="str">
        <f>CLEAN("OVER MUKWONAGO RIVER B67-0202")</f>
        <v>OVER MUKWONAGO RIVER B67-0202</v>
      </c>
      <c r="G3449" s="3" t="str">
        <f>CLEAN("PE/FULL PSE/BRRHB")</f>
        <v>PE/FULL PSE/BRRHB</v>
      </c>
      <c r="H3449" s="2" t="str">
        <f>CLEAN("CTH I")</f>
        <v>CTH I</v>
      </c>
      <c r="I3449" s="2" t="str">
        <f>CLEAN("205")</f>
        <v>205</v>
      </c>
    </row>
    <row r="3450" spans="1:9" x14ac:dyDescent="0.35">
      <c r="A3450" s="2" t="str">
        <f t="shared" si="507"/>
        <v>WAUKESHA</v>
      </c>
      <c r="B3450" s="2" t="str">
        <f t="shared" si="503"/>
        <v>WAUKESHA COUNTY</v>
      </c>
      <c r="C3450" s="2" t="s">
        <v>2743</v>
      </c>
      <c r="D3450" s="2" t="str">
        <f>CLEAN("3778-03-00")</f>
        <v>3778-03-00</v>
      </c>
      <c r="E3450" s="3" t="str">
        <f>CLEAN("LITTLE PRAIRIE - DOUSMAN")</f>
        <v>LITTLE PRAIRIE - DOUSMAN</v>
      </c>
      <c r="F3450" s="3" t="str">
        <f>CLEAN("NORTHEY RD TO SCUPPERNONG CREEK")</f>
        <v>NORTHEY RD TO SCUPPERNONG CREEK</v>
      </c>
      <c r="G3450" s="3" t="str">
        <f>CLEAN("PE/FULL PS&amp;E/MISC")</f>
        <v>PE/FULL PS&amp;E/MISC</v>
      </c>
      <c r="H3450" s="2" t="str">
        <f>CLEAN("CTH Z")</f>
        <v>CTH Z</v>
      </c>
      <c r="I3450" s="2" t="str">
        <f>CLEAN("206")</f>
        <v>206</v>
      </c>
    </row>
    <row r="3451" spans="1:9" x14ac:dyDescent="0.35">
      <c r="A3451" s="2" t="str">
        <f t="shared" si="507"/>
        <v>WAUKESHA</v>
      </c>
      <c r="B3451" s="2" t="str">
        <f t="shared" si="503"/>
        <v>WAUKESHA COUNTY</v>
      </c>
      <c r="C3451" s="2" t="s">
        <v>2900</v>
      </c>
      <c r="D3451" s="2" t="str">
        <f>CLEAN("3779-03-00")</f>
        <v>3779-03-00</v>
      </c>
      <c r="E3451" s="3" t="str">
        <f>CLEAN("CTH B")</f>
        <v>CTH B</v>
      </c>
      <c r="F3451" s="3" t="str">
        <f>CLEAN("INTERSECTION WITH MORGAN ROAD")</f>
        <v>INTERSECTION WITH MORGAN ROAD</v>
      </c>
      <c r="G3451" s="3" t="str">
        <f>CLEAN("PE/INTERSECTION MODIFICATION")</f>
        <v>PE/INTERSECTION MODIFICATION</v>
      </c>
      <c r="H3451" s="2" t="str">
        <f>CLEAN("CTH B")</f>
        <v>CTH B</v>
      </c>
      <c r="I3451" s="2" t="str">
        <f>CLEAN("206")</f>
        <v>206</v>
      </c>
    </row>
    <row r="3452" spans="1:9" x14ac:dyDescent="0.35">
      <c r="A3452" s="2" t="str">
        <f t="shared" si="507"/>
        <v>WAUKESHA</v>
      </c>
      <c r="B3452" s="2" t="str">
        <f t="shared" si="503"/>
        <v>WAUKESHA COUNTY</v>
      </c>
      <c r="C3452" s="2" t="s">
        <v>588</v>
      </c>
      <c r="D3452" s="2" t="str">
        <f>CLEAN("3779-03-70")</f>
        <v>3779-03-70</v>
      </c>
      <c r="E3452" s="3" t="str">
        <f>CLEAN("CTH B")</f>
        <v>CTH B</v>
      </c>
      <c r="F3452" s="3" t="str">
        <f>CLEAN("INTERSECTION WITH MORGAN ROAD")</f>
        <v>INTERSECTION WITH MORGAN ROAD</v>
      </c>
      <c r="G3452" s="3" t="str">
        <f>CLEAN("CONST/INTERSECTION MODIFICATION")</f>
        <v>CONST/INTERSECTION MODIFICATION</v>
      </c>
      <c r="H3452" s="2" t="str">
        <f>CLEAN("CTH B")</f>
        <v>CTH B</v>
      </c>
      <c r="I3452" s="2" t="str">
        <f>CLEAN("206")</f>
        <v>206</v>
      </c>
    </row>
    <row r="3453" spans="1:9" x14ac:dyDescent="0.35">
      <c r="A3453" s="2" t="str">
        <f t="shared" si="507"/>
        <v>WAUKESHA</v>
      </c>
      <c r="B3453" s="2" t="str">
        <f t="shared" si="503"/>
        <v>WAUKESHA COUNTY</v>
      </c>
      <c r="C3453" s="2" t="s">
        <v>587</v>
      </c>
      <c r="D3453" s="2" t="str">
        <f>CLEAN("3782-04-70")</f>
        <v>3782-04-70</v>
      </c>
      <c r="E3453" s="3" t="str">
        <f>CLEAN("CTH D")</f>
        <v>CTH D</v>
      </c>
      <c r="F3453" s="3" t="str">
        <f>CLEAN("INTERSECTION W/ MORAINE HILLS DRIVE")</f>
        <v>INTERSECTION W/ MORAINE HILLS DRIVE</v>
      </c>
      <c r="G3453" s="3" t="str">
        <f>CLEAN("CONST/INTERSECTION MODIFICATION")</f>
        <v>CONST/INTERSECTION MODIFICATION</v>
      </c>
      <c r="H3453" s="2" t="str">
        <f>CLEAN("CTH D")</f>
        <v>CTH D</v>
      </c>
      <c r="I3453" s="2" t="str">
        <f>CLEAN("206")</f>
        <v>206</v>
      </c>
    </row>
    <row r="3454" spans="1:9" x14ac:dyDescent="0.35">
      <c r="A3454" s="2" t="str">
        <f t="shared" si="507"/>
        <v>WAUKESHA</v>
      </c>
      <c r="B3454" s="2" t="str">
        <f t="shared" ref="B3454:B3461" si="509">CLEAN("WAUKESHA COUNTY PARKS")</f>
        <v>WAUKESHA COUNTY PARKS</v>
      </c>
      <c r="C3454" s="2" t="s">
        <v>2864</v>
      </c>
      <c r="D3454" s="2" t="str">
        <f>CLEAN("2722-05-02")</f>
        <v>2722-05-02</v>
      </c>
      <c r="E3454" s="3" t="str">
        <f>CLEAN("WAUKESHA/NEW BERLIN  NEW BERLIN TRL")</f>
        <v>WAUKESHA/NEW BERLIN  NEW BERLIN TRL</v>
      </c>
      <c r="F3454" s="3" t="str">
        <f>CLEAN("LINCOLN AVENUE TO SPRINGDALE ROAD")</f>
        <v>LINCOLN AVENUE TO SPRINGDALE ROAD</v>
      </c>
      <c r="G3454" s="3" t="str">
        <f>CLEAN("PE/FULL PSE/MISC")</f>
        <v>PE/FULL PSE/MISC</v>
      </c>
      <c r="H3454" s="2" t="str">
        <f t="shared" ref="H3454:H3461" si="510">CLEAN("NON HWY")</f>
        <v>NON HWY</v>
      </c>
      <c r="I3454" s="2" t="str">
        <f>CLEAN("290")</f>
        <v>290</v>
      </c>
    </row>
    <row r="3455" spans="1:9" x14ac:dyDescent="0.35">
      <c r="A3455" s="2" t="str">
        <f t="shared" si="507"/>
        <v>WAUKESHA</v>
      </c>
      <c r="B3455" s="2" t="str">
        <f t="shared" si="509"/>
        <v>WAUKESHA COUNTY PARKS</v>
      </c>
      <c r="C3455" s="2" t="s">
        <v>2904</v>
      </c>
      <c r="D3455" s="2" t="str">
        <f>CLEAN("3852-05-01")</f>
        <v>3852-05-01</v>
      </c>
      <c r="E3455" s="3" t="str">
        <f>CLEAN("LAKE COUNTRY TRAIL UNDERPASS")</f>
        <v>LAKE COUNTRY TRAIL UNDERPASS</v>
      </c>
      <c r="F3455" s="3" t="str">
        <f>CLEAN("AT STH 67")</f>
        <v>AT STH 67</v>
      </c>
      <c r="G3455" s="3" t="str">
        <f>CLEAN("PE/OVERSIGHT/BIKE PED")</f>
        <v>PE/OVERSIGHT/BIKE PED</v>
      </c>
      <c r="H3455" s="2" t="str">
        <f t="shared" si="510"/>
        <v>NON HWY</v>
      </c>
      <c r="I3455" s="2" t="str">
        <f>CLEAN("211")</f>
        <v>211</v>
      </c>
    </row>
    <row r="3456" spans="1:9" x14ac:dyDescent="0.35">
      <c r="A3456" s="2" t="str">
        <f t="shared" si="507"/>
        <v>WAUKESHA</v>
      </c>
      <c r="B3456" s="2" t="str">
        <f t="shared" si="509"/>
        <v>WAUKESHA COUNTY PARKS</v>
      </c>
      <c r="C3456" s="2" t="s">
        <v>2916</v>
      </c>
      <c r="D3456" s="2" t="str">
        <f>CLEAN("2718-14-01")</f>
        <v>2718-14-01</v>
      </c>
      <c r="E3456" s="3" t="str">
        <f>CLEAN("PEWAUKEE TO BROOKFIELD FACILITY")</f>
        <v>PEWAUKEE TO BROOKFIELD FACILITY</v>
      </c>
      <c r="F3456" s="3" t="str">
        <f>CLEAN("RIVER RD TO S OF WATERTOWN ROAD")</f>
        <v>RIVER RD TO S OF WATERTOWN ROAD</v>
      </c>
      <c r="G3456" s="3" t="str">
        <f>CLEAN("PE/PED/BIKE")</f>
        <v>PE/PED/BIKE</v>
      </c>
      <c r="H3456" s="2" t="str">
        <f t="shared" si="510"/>
        <v>NON HWY</v>
      </c>
      <c r="I3456" s="2" t="str">
        <f>CLEAN("290")</f>
        <v>290</v>
      </c>
    </row>
    <row r="3457" spans="1:9" x14ac:dyDescent="0.35">
      <c r="A3457" s="2" t="str">
        <f t="shared" si="507"/>
        <v>WAUKESHA</v>
      </c>
      <c r="B3457" s="2" t="str">
        <f t="shared" si="509"/>
        <v>WAUKESHA COUNTY PARKS</v>
      </c>
      <c r="C3457" s="2" t="s">
        <v>686</v>
      </c>
      <c r="D3457" s="2" t="str">
        <f>CLEAN("2718-14-71")</f>
        <v>2718-14-71</v>
      </c>
      <c r="E3457" s="3" t="str">
        <f>CLEAN("PEWAUKEE-BROOKFIELD MULTIUSE PATH")</f>
        <v>PEWAUKEE-BROOKFIELD MULTIUSE PATH</v>
      </c>
      <c r="F3457" s="3" t="str">
        <f>CLEAN("RIVER RD TO S OF WATERTOWN ROAD")</f>
        <v>RIVER RD TO S OF WATERTOWN ROAD</v>
      </c>
      <c r="G3457" s="3" t="str">
        <f>CLEAN("CONST/PED/BIKE")</f>
        <v>CONST/PED/BIKE</v>
      </c>
      <c r="H3457" s="2" t="str">
        <f t="shared" si="510"/>
        <v>NON HWY</v>
      </c>
      <c r="I3457" s="2" t="str">
        <f>CLEAN("290")</f>
        <v>290</v>
      </c>
    </row>
    <row r="3458" spans="1:9" x14ac:dyDescent="0.35">
      <c r="A3458" s="2" t="str">
        <f t="shared" si="507"/>
        <v>WAUKESHA</v>
      </c>
      <c r="B3458" s="2" t="str">
        <f t="shared" si="509"/>
        <v>WAUKESHA COUNTY PARKS</v>
      </c>
      <c r="C3458" s="2" t="s">
        <v>366</v>
      </c>
      <c r="D3458" s="2" t="str">
        <f>CLEAN("2722-05-72")</f>
        <v>2722-05-72</v>
      </c>
      <c r="E3458" s="3" t="str">
        <f>CLEAN("WAUKESHA/NEW BERLIN  NEW BERLIN TRL")</f>
        <v>WAUKESHA/NEW BERLIN  NEW BERLIN TRL</v>
      </c>
      <c r="F3458" s="3" t="str">
        <f>CLEAN("LINCOLN AVENUE TO SPRINGDALE ROAD")</f>
        <v>LINCOLN AVENUE TO SPRINGDALE ROAD</v>
      </c>
      <c r="G3458" s="3" t="str">
        <f>CLEAN("CONST/BIKE PED TRAIL")</f>
        <v>CONST/BIKE PED TRAIL</v>
      </c>
      <c r="H3458" s="2" t="str">
        <f t="shared" si="510"/>
        <v>NON HWY</v>
      </c>
      <c r="I3458" s="2" t="str">
        <f>CLEAN("290")</f>
        <v>290</v>
      </c>
    </row>
    <row r="3459" spans="1:9" x14ac:dyDescent="0.35">
      <c r="A3459" s="2" t="str">
        <f t="shared" si="507"/>
        <v>WAUKESHA</v>
      </c>
      <c r="B3459" s="2" t="str">
        <f t="shared" si="509"/>
        <v>WAUKESHA COUNTY PARKS</v>
      </c>
      <c r="C3459" s="2" t="s">
        <v>676</v>
      </c>
      <c r="D3459" s="2" t="str">
        <f>CLEAN("3852-05-71")</f>
        <v>3852-05-71</v>
      </c>
      <c r="E3459" s="3" t="str">
        <f>CLEAN("LAKE COUNTRY TRAIL UNDERPASS")</f>
        <v>LAKE COUNTRY TRAIL UNDERPASS</v>
      </c>
      <c r="F3459" s="3" t="str">
        <f>CLEAN("AT STH 67")</f>
        <v>AT STH 67</v>
      </c>
      <c r="G3459" s="3" t="str">
        <f>CLEAN("CONST/PED &amp; BIKE")</f>
        <v>CONST/PED &amp; BIKE</v>
      </c>
      <c r="H3459" s="2" t="str">
        <f t="shared" si="510"/>
        <v>NON HWY</v>
      </c>
      <c r="I3459" s="2" t="str">
        <f>CLEAN("211")</f>
        <v>211</v>
      </c>
    </row>
    <row r="3460" spans="1:9" x14ac:dyDescent="0.35">
      <c r="A3460" s="2" t="str">
        <f t="shared" si="507"/>
        <v>WAUKESHA</v>
      </c>
      <c r="B3460" s="2" t="str">
        <f t="shared" si="509"/>
        <v>WAUKESHA COUNTY PARKS</v>
      </c>
      <c r="C3460" s="2" t="s">
        <v>2744</v>
      </c>
      <c r="D3460" s="2" t="str">
        <f>CLEAN("3852-07-00")</f>
        <v>3852-07-00</v>
      </c>
      <c r="E3460" s="3" t="str">
        <f>CLEAN("LAKE COUNTRY TRAIL PHASE V")</f>
        <v>LAKE COUNTRY TRAIL PHASE V</v>
      </c>
      <c r="F3460" s="3" t="str">
        <f>CLEAN("ROOSEVELT PARK TO WAUKESHA CO LINE")</f>
        <v>ROOSEVELT PARK TO WAUKESHA CO LINE</v>
      </c>
      <c r="G3460" s="3" t="str">
        <f>CLEAN("PE/FULL PS&amp;E/MISC")</f>
        <v>PE/FULL PS&amp;E/MISC</v>
      </c>
      <c r="H3460" s="2" t="str">
        <f t="shared" si="510"/>
        <v>NON HWY</v>
      </c>
      <c r="I3460" s="2" t="str">
        <f>CLEAN("211")</f>
        <v>211</v>
      </c>
    </row>
    <row r="3461" spans="1:9" x14ac:dyDescent="0.35">
      <c r="A3461" s="2" t="str">
        <f t="shared" si="507"/>
        <v>WAUKESHA</v>
      </c>
      <c r="B3461" s="2" t="str">
        <f t="shared" si="509"/>
        <v>WAUKESHA COUNTY PARKS</v>
      </c>
      <c r="C3461" s="2" t="s">
        <v>632</v>
      </c>
      <c r="D3461" s="2" t="str">
        <f>CLEAN("3852-07-70")</f>
        <v>3852-07-70</v>
      </c>
      <c r="E3461" s="3" t="str">
        <f>CLEAN("LAKE COUNTRY TRAIL PHASE V")</f>
        <v>LAKE COUNTRY TRAIL PHASE V</v>
      </c>
      <c r="F3461" s="3" t="str">
        <f>CLEAN("ROOSEVELT PARK TO WAUKESHA CO LINE")</f>
        <v>ROOSEVELT PARK TO WAUKESHA CO LINE</v>
      </c>
      <c r="G3461" s="3" t="str">
        <f>CLEAN("CONST/MISC")</f>
        <v>CONST/MISC</v>
      </c>
      <c r="H3461" s="2" t="str">
        <f t="shared" si="510"/>
        <v>NON HWY</v>
      </c>
      <c r="I3461" s="2" t="str">
        <f>CLEAN("211")</f>
        <v>211</v>
      </c>
    </row>
    <row r="3462" spans="1:9" x14ac:dyDescent="0.35">
      <c r="A3462" s="2" t="str">
        <f t="shared" si="507"/>
        <v>WAUKESHA</v>
      </c>
      <c r="B3462" s="2" t="str">
        <f>CLEAN("WAUKESHA WATER UTILITY")</f>
        <v>WAUKESHA WATER UTILITY</v>
      </c>
      <c r="C3462" s="2" t="s">
        <v>789</v>
      </c>
      <c r="D3462" s="2" t="str">
        <f>CLEAN("2718-04-71")</f>
        <v>2718-04-71</v>
      </c>
      <c r="E3462" s="3" t="str">
        <f>CLEAN("W ST PAUL AVENUE")</f>
        <v>W ST PAUL AVENUE</v>
      </c>
      <c r="F3462" s="3" t="str">
        <f>CLEAN("MOUNTAIN AVE TO MADISON ST")</f>
        <v>MOUNTAIN AVE TO MADISON ST</v>
      </c>
      <c r="G3462" s="3" t="str">
        <f>CLEAN("CONST/RECONSTRUCT NO ADDED CAPACITY")</f>
        <v>CONST/RECONSTRUCT NO ADDED CAPACITY</v>
      </c>
      <c r="H3462" s="2" t="str">
        <f>CLEAN("LOC STR")</f>
        <v>LOC STR</v>
      </c>
      <c r="I3462" s="2" t="str">
        <f>CLEAN("206")</f>
        <v>206</v>
      </c>
    </row>
    <row r="3463" spans="1:9" x14ac:dyDescent="0.35">
      <c r="A3463" s="2" t="str">
        <f t="shared" si="507"/>
        <v>WAUKESHA</v>
      </c>
      <c r="B3463" s="2" t="str">
        <f>CLEAN("WAUKESHA WATER UTILITY")</f>
        <v>WAUKESHA WATER UTILITY</v>
      </c>
      <c r="C3463" s="2" t="s">
        <v>790</v>
      </c>
      <c r="D3463" s="2" t="str">
        <f>CLEAN("2718-04-72")</f>
        <v>2718-04-72</v>
      </c>
      <c r="E3463" s="3" t="str">
        <f>CLEAN("W ST PAUL AVENUE")</f>
        <v>W ST PAUL AVENUE</v>
      </c>
      <c r="F3463" s="3" t="str">
        <f>CLEAN("MOUNTAIN AVE TO MADISON ST")</f>
        <v>MOUNTAIN AVE TO MADISON ST</v>
      </c>
      <c r="G3463" s="3" t="str">
        <f>CLEAN("CONST/RECONSTRUCT NO ADDED CAPACITY")</f>
        <v>CONST/RECONSTRUCT NO ADDED CAPACITY</v>
      </c>
      <c r="H3463" s="2" t="str">
        <f>CLEAN("LOC STR")</f>
        <v>LOC STR</v>
      </c>
      <c r="I3463" s="2" t="str">
        <f>CLEAN("206")</f>
        <v>206</v>
      </c>
    </row>
    <row r="3464" spans="1:9" x14ac:dyDescent="0.35">
      <c r="A3464" s="2" t="str">
        <f t="shared" si="507"/>
        <v>WAUKESHA</v>
      </c>
      <c r="B3464" s="2" t="str">
        <f>CLEAN("WAUKESHA WATER UTILITY")</f>
        <v>WAUKESHA WATER UTILITY</v>
      </c>
      <c r="C3464" s="2" t="s">
        <v>786</v>
      </c>
      <c r="D3464" s="2" t="str">
        <f>CLEAN("2788-00-71")</f>
        <v>2788-00-71</v>
      </c>
      <c r="E3464" s="3" t="str">
        <f>CLEAN("WAUKESHA BYPASS")</f>
        <v>WAUKESHA BYPASS</v>
      </c>
      <c r="F3464" s="3" t="str">
        <f>CLEAN("GENESEE RD TO FIDDLERS CREEK DR")</f>
        <v>GENESEE RD TO FIDDLERS CREEK DR</v>
      </c>
      <c r="G3464" s="3" t="str">
        <f>CLEAN("CONST/RECONSTRUCT  PAVING")</f>
        <v>CONST/RECONSTRUCT  PAVING</v>
      </c>
      <c r="H3464" s="2" t="str">
        <f>CLEAN("USH 018")</f>
        <v>USH 018</v>
      </c>
      <c r="I3464" s="2" t="str">
        <f>CLEAN("303")</f>
        <v>303</v>
      </c>
    </row>
    <row r="3465" spans="1:9" x14ac:dyDescent="0.35">
      <c r="A3465" s="2" t="str">
        <f t="shared" ref="A3465:A3473" si="511">CLEAN("WAUPACA")</f>
        <v>WAUPACA</v>
      </c>
      <c r="B3465" s="2" t="str">
        <f t="shared" ref="B3465:B3473" si="512">CLEAN("WAUPACA COUNTY")</f>
        <v>WAUPACA COUNTY</v>
      </c>
      <c r="C3465" s="2" t="s">
        <v>1974</v>
      </c>
      <c r="D3465" s="2" t="str">
        <f>CLEAN("6832-06-02")</f>
        <v>6832-06-02</v>
      </c>
      <c r="E3465" s="3" t="str">
        <f>CLEAN("OGDENSBURG - MANAWA")</f>
        <v>OGDENSBURG - MANAWA</v>
      </c>
      <c r="F3465" s="3" t="str">
        <f>CLEAN("LITTLE WOLF RIVER BRIDGE  B-68-0001")</f>
        <v>LITTLE WOLF RIVER BRIDGE  B-68-0001</v>
      </c>
      <c r="G3465" s="3" t="str">
        <f>CLEAN("DESIGN/FULL PSE/REPLACEMENT")</f>
        <v>DESIGN/FULL PSE/REPLACEMENT</v>
      </c>
      <c r="H3465" s="2" t="str">
        <f>CLEAN("CTH B")</f>
        <v>CTH B</v>
      </c>
      <c r="I3465" s="2" t="str">
        <f>CLEAN("205")</f>
        <v>205</v>
      </c>
    </row>
    <row r="3466" spans="1:9" x14ac:dyDescent="0.35">
      <c r="A3466" s="2" t="str">
        <f t="shared" si="511"/>
        <v>WAUPACA</v>
      </c>
      <c r="B3466" s="2" t="str">
        <f t="shared" si="512"/>
        <v>WAUPACA COUNTY</v>
      </c>
      <c r="C3466" s="2" t="s">
        <v>1996</v>
      </c>
      <c r="D3466" s="2" t="str">
        <f>CLEAN("6844-01-02")</f>
        <v>6844-01-02</v>
      </c>
      <c r="E3466" s="3" t="str">
        <f>CLEAN("WAUPACA - OGDENSBURG")</f>
        <v>WAUPACA - OGDENSBURG</v>
      </c>
      <c r="F3466" s="3" t="str">
        <f>CLEAN("S BR LITTLE WOLF RIVER BR B-68-0007")</f>
        <v>S BR LITTLE WOLF RIVER BR B-68-0007</v>
      </c>
      <c r="G3466" s="3" t="str">
        <f>CLEAN("DESIGN/FULL PSE/REPLACEMENT")</f>
        <v>DESIGN/FULL PSE/REPLACEMENT</v>
      </c>
      <c r="H3466" s="2" t="str">
        <f>CLEAN("CTH E")</f>
        <v>CTH E</v>
      </c>
      <c r="I3466" s="2" t="str">
        <f>CLEAN("205")</f>
        <v>205</v>
      </c>
    </row>
    <row r="3467" spans="1:9" x14ac:dyDescent="0.35">
      <c r="A3467" s="2" t="str">
        <f t="shared" si="511"/>
        <v>WAUPACA</v>
      </c>
      <c r="B3467" s="2" t="str">
        <f t="shared" si="512"/>
        <v>WAUPACA COUNTY</v>
      </c>
      <c r="C3467" s="2" t="s">
        <v>904</v>
      </c>
      <c r="D3467" s="2" t="str">
        <f>CLEAN("6832-06-72")</f>
        <v>6832-06-72</v>
      </c>
      <c r="E3467" s="3" t="str">
        <f>CLEAN("OGDENSBURG - MANAWA")</f>
        <v>OGDENSBURG - MANAWA</v>
      </c>
      <c r="F3467" s="3" t="str">
        <f>CLEAN("LITTLE WOLF RIVER BRIDGE  B-68-0150")</f>
        <v>LITTLE WOLF RIVER BRIDGE  B-68-0150</v>
      </c>
      <c r="G3467" s="3" t="str">
        <f>CLEAN("CONST/REPLACEMENT")</f>
        <v>CONST/REPLACEMENT</v>
      </c>
      <c r="H3467" s="2" t="str">
        <f>CLEAN("CTH B")</f>
        <v>CTH B</v>
      </c>
      <c r="I3467" s="2" t="str">
        <f>CLEAN("205")</f>
        <v>205</v>
      </c>
    </row>
    <row r="3468" spans="1:9" x14ac:dyDescent="0.35">
      <c r="A3468" s="2" t="str">
        <f t="shared" si="511"/>
        <v>WAUPACA</v>
      </c>
      <c r="B3468" s="2" t="str">
        <f t="shared" si="512"/>
        <v>WAUPACA COUNTY</v>
      </c>
      <c r="C3468" s="2" t="s">
        <v>1710</v>
      </c>
      <c r="D3468" s="2" t="str">
        <f>CLEAN("6834-01-00")</f>
        <v>6834-01-00</v>
      </c>
      <c r="E3468" s="3" t="str">
        <f>CLEAN("WINNEBAGO COUNTY LINE - STH 110")</f>
        <v>WINNEBAGO COUNTY LINE - STH 110</v>
      </c>
      <c r="F3468" s="3" t="str">
        <f>CLEAN("CTH AH TO LIND STREET")</f>
        <v>CTH AH TO LIND STREET</v>
      </c>
      <c r="G3468" s="3" t="str">
        <f>CLEAN("DESIGN OVERSITE/RECONSTRUCT")</f>
        <v>DESIGN OVERSITE/RECONSTRUCT</v>
      </c>
      <c r="H3468" s="2" t="str">
        <f>CLEAN("CTH H")</f>
        <v>CTH H</v>
      </c>
      <c r="I3468" s="2" t="str">
        <f>CLEAN("206")</f>
        <v>206</v>
      </c>
    </row>
    <row r="3469" spans="1:9" x14ac:dyDescent="0.35">
      <c r="A3469" s="2" t="str">
        <f t="shared" si="511"/>
        <v>WAUPACA</v>
      </c>
      <c r="B3469" s="2" t="str">
        <f t="shared" si="512"/>
        <v>WAUPACA COUNTY</v>
      </c>
      <c r="C3469" s="2" t="s">
        <v>764</v>
      </c>
      <c r="D3469" s="2" t="str">
        <f>CLEAN("6834-01-70")</f>
        <v>6834-01-70</v>
      </c>
      <c r="E3469" s="3" t="str">
        <f>CLEAN("WINNEBAGO COUNTY LINE - STH 110")</f>
        <v>WINNEBAGO COUNTY LINE - STH 110</v>
      </c>
      <c r="F3469" s="3" t="str">
        <f>CLEAN("CTH AH TO LIND STREET")</f>
        <v>CTH AH TO LIND STREET</v>
      </c>
      <c r="G3469" s="3" t="str">
        <f>CLEAN("CONST/RECONSTRUCT")</f>
        <v>CONST/RECONSTRUCT</v>
      </c>
      <c r="H3469" s="2" t="str">
        <f>CLEAN("CTH H")</f>
        <v>CTH H</v>
      </c>
      <c r="I3469" s="2" t="str">
        <f>CLEAN("206")</f>
        <v>206</v>
      </c>
    </row>
    <row r="3470" spans="1:9" x14ac:dyDescent="0.35">
      <c r="A3470" s="2" t="str">
        <f t="shared" si="511"/>
        <v>WAUPACA</v>
      </c>
      <c r="B3470" s="2" t="str">
        <f t="shared" si="512"/>
        <v>WAUPACA COUNTY</v>
      </c>
      <c r="C3470" s="2" t="s">
        <v>1937</v>
      </c>
      <c r="D3470" s="2" t="str">
        <f>CLEAN("6837-00-01")</f>
        <v>6837-00-01</v>
      </c>
      <c r="E3470" s="3" t="str">
        <f>CLEAN("C NEW LONDON  NORTH SHAWANO STREET")</f>
        <v>C NEW LONDON  NORTH SHAWANO STREET</v>
      </c>
      <c r="F3470" s="3" t="str">
        <f>CLEAN("NORTH STREET TO NORTHRIDGE DRIVE")</f>
        <v>NORTH STREET TO NORTHRIDGE DRIVE</v>
      </c>
      <c r="G3470" s="3" t="str">
        <f>CLEAN("DESIGN/FULL PSE/RECONSTRUCT")</f>
        <v>DESIGN/FULL PSE/RECONSTRUCT</v>
      </c>
      <c r="H3470" s="2" t="str">
        <f>CLEAN("CTH D")</f>
        <v>CTH D</v>
      </c>
      <c r="I3470" s="2" t="str">
        <f>CLEAN("206")</f>
        <v>206</v>
      </c>
    </row>
    <row r="3471" spans="1:9" x14ac:dyDescent="0.35">
      <c r="A3471" s="2" t="str">
        <f t="shared" si="511"/>
        <v>WAUPACA</v>
      </c>
      <c r="B3471" s="2" t="str">
        <f t="shared" si="512"/>
        <v>WAUPACA COUNTY</v>
      </c>
      <c r="C3471" s="2" t="s">
        <v>2243</v>
      </c>
      <c r="D3471" s="2" t="str">
        <f>CLEAN("6838-00-00")</f>
        <v>6838-00-00</v>
      </c>
      <c r="E3471" s="3" t="str">
        <f>CLEAN("WINNEBAGO CO LINE - NEW LONDON")</f>
        <v>WINNEBAGO CO LINE - NEW LONDON</v>
      </c>
      <c r="F3471" s="3" t="str">
        <f>CLEAN("STH 96 TO CUT OFF ROAD")</f>
        <v>STH 96 TO CUT OFF ROAD</v>
      </c>
      <c r="G3471" s="3" t="str">
        <f>CLEAN("DESIGN/PVRPLA")</f>
        <v>DESIGN/PVRPLA</v>
      </c>
      <c r="H3471" s="2" t="str">
        <f>CLEAN("CTH W")</f>
        <v>CTH W</v>
      </c>
      <c r="I3471" s="2" t="str">
        <f>CLEAN("206")</f>
        <v>206</v>
      </c>
    </row>
    <row r="3472" spans="1:9" x14ac:dyDescent="0.35">
      <c r="A3472" s="2" t="str">
        <f t="shared" si="511"/>
        <v>WAUPACA</v>
      </c>
      <c r="B3472" s="2" t="str">
        <f t="shared" si="512"/>
        <v>WAUPACA COUNTY</v>
      </c>
      <c r="C3472" s="2" t="s">
        <v>727</v>
      </c>
      <c r="D3472" s="2" t="str">
        <f>CLEAN("6838-00-70")</f>
        <v>6838-00-70</v>
      </c>
      <c r="E3472" s="3" t="str">
        <f>CLEAN("WINNEBAGO CO LINE - NEW LONDON")</f>
        <v>WINNEBAGO CO LINE - NEW LONDON</v>
      </c>
      <c r="F3472" s="3" t="str">
        <f>CLEAN("STH 96 TO CUT OFF ROAD")</f>
        <v>STH 96 TO CUT OFF ROAD</v>
      </c>
      <c r="G3472" s="3" t="str">
        <f>CLEAN("CONST/PVRPLA")</f>
        <v>CONST/PVRPLA</v>
      </c>
      <c r="H3472" s="2" t="str">
        <f>CLEAN("CTH W")</f>
        <v>CTH W</v>
      </c>
      <c r="I3472" s="2" t="str">
        <f>CLEAN("206")</f>
        <v>206</v>
      </c>
    </row>
    <row r="3473" spans="1:9" x14ac:dyDescent="0.35">
      <c r="A3473" s="2" t="str">
        <f t="shared" si="511"/>
        <v>WAUPACA</v>
      </c>
      <c r="B3473" s="2" t="str">
        <f t="shared" si="512"/>
        <v>WAUPACA COUNTY</v>
      </c>
      <c r="C3473" s="2" t="s">
        <v>924</v>
      </c>
      <c r="D3473" s="2" t="str">
        <f>CLEAN("6844-01-72")</f>
        <v>6844-01-72</v>
      </c>
      <c r="E3473" s="3" t="str">
        <f>CLEAN("WAUPACA - OGDENSBURG")</f>
        <v>WAUPACA - OGDENSBURG</v>
      </c>
      <c r="F3473" s="3" t="str">
        <f>CLEAN("S BR LITTLE WOLF RIVER BR B-68-0155")</f>
        <v>S BR LITTLE WOLF RIVER BR B-68-0155</v>
      </c>
      <c r="G3473" s="3" t="str">
        <f>CLEAN("CONST/REPLACEMENT")</f>
        <v>CONST/REPLACEMENT</v>
      </c>
      <c r="H3473" s="2" t="str">
        <f>CLEAN("CTH E")</f>
        <v>CTH E</v>
      </c>
      <c r="I3473" s="2" t="str">
        <f t="shared" ref="I3473:I3480" si="513">CLEAN("205")</f>
        <v>205</v>
      </c>
    </row>
    <row r="3474" spans="1:9" x14ac:dyDescent="0.35">
      <c r="A3474" s="2" t="str">
        <f t="shared" ref="A3474:A3480" si="514">CLEAN("WAUSHARA")</f>
        <v>WAUSHARA</v>
      </c>
      <c r="B3474" s="2" t="str">
        <f t="shared" ref="B3474:B3480" si="515">CLEAN("WAUSHARA COUNTY")</f>
        <v>WAUSHARA COUNTY</v>
      </c>
      <c r="C3474" s="2" t="s">
        <v>1886</v>
      </c>
      <c r="D3474" s="2" t="str">
        <f>CLEAN("6871-00-00")</f>
        <v>6871-00-00</v>
      </c>
      <c r="E3474" s="3" t="str">
        <f>CLEAN("T SAXEVILLE  29TH DRIVE")</f>
        <v>T SAXEVILLE  29TH DRIVE</v>
      </c>
      <c r="F3474" s="3" t="str">
        <f>CLEAN("AUSTIN CREEK BRIDGE P-69-0012")</f>
        <v>AUSTIN CREEK BRIDGE P-69-0012</v>
      </c>
      <c r="G3474" s="3" t="str">
        <f>CLEAN("DESIGN/FULL PS&amp;E/REPLACEMENT")</f>
        <v>DESIGN/FULL PS&amp;E/REPLACEMENT</v>
      </c>
      <c r="H3474" s="2" t="str">
        <f>CLEAN("LOC STR")</f>
        <v>LOC STR</v>
      </c>
      <c r="I3474" s="2" t="str">
        <f t="shared" si="513"/>
        <v>205</v>
      </c>
    </row>
    <row r="3475" spans="1:9" x14ac:dyDescent="0.35">
      <c r="A3475" s="2" t="str">
        <f t="shared" si="514"/>
        <v>WAUSHARA</v>
      </c>
      <c r="B3475" s="2" t="str">
        <f t="shared" si="515"/>
        <v>WAUSHARA COUNTY</v>
      </c>
      <c r="C3475" s="2" t="s">
        <v>876</v>
      </c>
      <c r="D3475" s="2" t="str">
        <f>CLEAN("6871-00-70")</f>
        <v>6871-00-70</v>
      </c>
      <c r="E3475" s="3" t="str">
        <f>CLEAN("T SAXEVILLE  29TH DRIVE")</f>
        <v>T SAXEVILLE  29TH DRIVE</v>
      </c>
      <c r="F3475" s="3" t="str">
        <f>CLEAN("AUSTIN CREEK BRIDGE B-69-0052")</f>
        <v>AUSTIN CREEK BRIDGE B-69-0052</v>
      </c>
      <c r="G3475" s="3" t="str">
        <f>CLEAN("CONST/REPLACEMENT")</f>
        <v>CONST/REPLACEMENT</v>
      </c>
      <c r="H3475" s="2" t="str">
        <f>CLEAN("LOC STR")</f>
        <v>LOC STR</v>
      </c>
      <c r="I3475" s="2" t="str">
        <f t="shared" si="513"/>
        <v>205</v>
      </c>
    </row>
    <row r="3476" spans="1:9" x14ac:dyDescent="0.35">
      <c r="A3476" s="2" t="str">
        <f t="shared" si="514"/>
        <v>WAUSHARA</v>
      </c>
      <c r="B3476" s="2" t="str">
        <f t="shared" si="515"/>
        <v>WAUSHARA COUNTY</v>
      </c>
      <c r="C3476" s="2" t="s">
        <v>1989</v>
      </c>
      <c r="D3476" s="2" t="str">
        <f>CLEAN("6910-02-00")</f>
        <v>6910-02-00</v>
      </c>
      <c r="E3476" s="3" t="str">
        <f>CLEAN("STH 49 - CTH I")</f>
        <v>STH 49 - CTH I</v>
      </c>
      <c r="F3476" s="3" t="str">
        <f>CLEAN("PONY CREEK BRIDGE  B-69-0001")</f>
        <v>PONY CREEK BRIDGE  B-69-0001</v>
      </c>
      <c r="G3476" s="3" t="str">
        <f>CLEAN("DESIGN/FULL PSE/REPLACEMENT")</f>
        <v>DESIGN/FULL PSE/REPLACEMENT</v>
      </c>
      <c r="H3476" s="2" t="str">
        <f>CLEAN("CTH H")</f>
        <v>CTH H</v>
      </c>
      <c r="I3476" s="2" t="str">
        <f t="shared" si="513"/>
        <v>205</v>
      </c>
    </row>
    <row r="3477" spans="1:9" x14ac:dyDescent="0.35">
      <c r="A3477" s="2" t="str">
        <f t="shared" si="514"/>
        <v>WAUSHARA</v>
      </c>
      <c r="B3477" s="2" t="str">
        <f t="shared" si="515"/>
        <v>WAUSHARA COUNTY</v>
      </c>
      <c r="C3477" s="2" t="s">
        <v>2010</v>
      </c>
      <c r="D3477" s="2" t="str">
        <f>CLEAN("6911-00-02")</f>
        <v>6911-00-02</v>
      </c>
      <c r="E3477" s="3" t="str">
        <f>CLEAN("STH 49 - WINNEBAGO CO LINE")</f>
        <v>STH 49 - WINNEBAGO CO LINE</v>
      </c>
      <c r="F3477" s="3" t="str">
        <f>CLEAN("WILLOW CREEK BRIDGE B-69-0973")</f>
        <v>WILLOW CREEK BRIDGE B-69-0973</v>
      </c>
      <c r="G3477" s="3" t="str">
        <f>CLEAN("DESIGN/FULL PSE/REPLACEMENT")</f>
        <v>DESIGN/FULL PSE/REPLACEMENT</v>
      </c>
      <c r="H3477" s="2" t="str">
        <f>CLEAN("CTH D")</f>
        <v>CTH D</v>
      </c>
      <c r="I3477" s="2" t="str">
        <f t="shared" si="513"/>
        <v>205</v>
      </c>
    </row>
    <row r="3478" spans="1:9" x14ac:dyDescent="0.35">
      <c r="A3478" s="2" t="str">
        <f t="shared" si="514"/>
        <v>WAUSHARA</v>
      </c>
      <c r="B3478" s="2" t="str">
        <f t="shared" si="515"/>
        <v>WAUSHARA COUNTY</v>
      </c>
      <c r="C3478" s="2" t="s">
        <v>937</v>
      </c>
      <c r="D3478" s="2" t="str">
        <f>CLEAN("6911-00-72")</f>
        <v>6911-00-72</v>
      </c>
      <c r="E3478" s="3" t="str">
        <f>CLEAN("STH 49 - WINNEBAGO CO LINE")</f>
        <v>STH 49 - WINNEBAGO CO LINE</v>
      </c>
      <c r="F3478" s="3" t="str">
        <f>CLEAN("WILLOW CREEK BRIDGE B-69-0055")</f>
        <v>WILLOW CREEK BRIDGE B-69-0055</v>
      </c>
      <c r="G3478" s="3" t="str">
        <f>CLEAN("CONST/REPLACEMENT")</f>
        <v>CONST/REPLACEMENT</v>
      </c>
      <c r="H3478" s="2" t="str">
        <f>CLEAN("CTH D")</f>
        <v>CTH D</v>
      </c>
      <c r="I3478" s="2" t="str">
        <f t="shared" si="513"/>
        <v>205</v>
      </c>
    </row>
    <row r="3479" spans="1:9" x14ac:dyDescent="0.35">
      <c r="A3479" s="2" t="str">
        <f t="shared" si="514"/>
        <v>WAUSHARA</v>
      </c>
      <c r="B3479" s="2" t="str">
        <f t="shared" si="515"/>
        <v>WAUSHARA COUNTY</v>
      </c>
      <c r="C3479" s="2" t="s">
        <v>1973</v>
      </c>
      <c r="D3479" s="2" t="str">
        <f>CLEAN("6987-02-00")</f>
        <v>6987-02-00</v>
      </c>
      <c r="E3479" s="3" t="str">
        <f>CLEAN("REDGRANITE - CTH H")</f>
        <v>REDGRANITE - CTH H</v>
      </c>
      <c r="F3479" s="3" t="str">
        <f>CLEAN("LITTLE SILVER LAKE CREEK  B-69-0202")</f>
        <v>LITTLE SILVER LAKE CREEK  B-69-0202</v>
      </c>
      <c r="G3479" s="3" t="str">
        <f>CLEAN("DESIGN/FULL PSE/REPLACEMENT")</f>
        <v>DESIGN/FULL PSE/REPLACEMENT</v>
      </c>
      <c r="H3479" s="2" t="str">
        <f>CLEAN("CTH E")</f>
        <v>CTH E</v>
      </c>
      <c r="I3479" s="2" t="str">
        <f t="shared" si="513"/>
        <v>205</v>
      </c>
    </row>
    <row r="3480" spans="1:9" x14ac:dyDescent="0.35">
      <c r="A3480" s="2" t="str">
        <f t="shared" si="514"/>
        <v>WAUSHARA</v>
      </c>
      <c r="B3480" s="2" t="str">
        <f t="shared" si="515"/>
        <v>WAUSHARA COUNTY</v>
      </c>
      <c r="C3480" s="2" t="s">
        <v>903</v>
      </c>
      <c r="D3480" s="2" t="str">
        <f>CLEAN("6987-02-70")</f>
        <v>6987-02-70</v>
      </c>
      <c r="E3480" s="3" t="str">
        <f>CLEAN("REDGRANITE - CTH H")</f>
        <v>REDGRANITE - CTH H</v>
      </c>
      <c r="F3480" s="3" t="str">
        <f>CLEAN("LITTLE SILVER LAKE CREEK  B-69-0054")</f>
        <v>LITTLE SILVER LAKE CREEK  B-69-0054</v>
      </c>
      <c r="G3480" s="3" t="str">
        <f>CLEAN("CONST/REPLACEMENT")</f>
        <v>CONST/REPLACEMENT</v>
      </c>
      <c r="H3480" s="2" t="str">
        <f>CLEAN("CTH E")</f>
        <v>CTH E</v>
      </c>
      <c r="I3480" s="2" t="str">
        <f t="shared" si="513"/>
        <v>205</v>
      </c>
    </row>
    <row r="3481" spans="1:9" x14ac:dyDescent="0.35">
      <c r="A3481" s="2" t="str">
        <f>CLEAN("CRAWFORD")</f>
        <v>CRAWFORD</v>
      </c>
      <c r="B3481" s="2" t="str">
        <f>CLEAN("WAUZEKA STEUBAN SCHOOL DISTRICT")</f>
        <v>WAUZEKA STEUBAN SCHOOL DISTRICT</v>
      </c>
      <c r="C3481" s="2" t="s">
        <v>1413</v>
      </c>
      <c r="D3481" s="2" t="str">
        <f>CLEAN("5339-00-04")</f>
        <v>5339-00-04</v>
      </c>
      <c r="E3481" s="3" t="str">
        <f>CLEAN("V WAUZEKA  LED CROSSWALK SIGNS")</f>
        <v>V WAUZEKA  LED CROSSWALK SIGNS</v>
      </c>
      <c r="F3481" s="3" t="str">
        <f>CLEAN("STH 60 / STATION ST INTERSECTION")</f>
        <v>STH 60 / STATION ST INTERSECTION</v>
      </c>
      <c r="G3481" s="3" t="str">
        <f>CLEAN("DESIGN - FULL PS&amp;E")</f>
        <v>DESIGN - FULL PS&amp;E</v>
      </c>
      <c r="H3481" s="2" t="str">
        <f>CLEAN("NON HWY")</f>
        <v>NON HWY</v>
      </c>
      <c r="I3481" s="2" t="str">
        <f t="shared" ref="I3481:I3487" si="516">CLEAN("290")</f>
        <v>290</v>
      </c>
    </row>
    <row r="3482" spans="1:9" x14ac:dyDescent="0.35">
      <c r="A3482" s="2" t="str">
        <f>CLEAN("CRAWFORD")</f>
        <v>CRAWFORD</v>
      </c>
      <c r="B3482" s="2" t="str">
        <f>CLEAN("WAUZEKA STEUBAN SCHOOL DISTRICT")</f>
        <v>WAUZEKA STEUBAN SCHOOL DISTRICT</v>
      </c>
      <c r="C3482" s="2" t="s">
        <v>2560</v>
      </c>
      <c r="D3482" s="2" t="str">
        <f>CLEAN("5339-00-74")</f>
        <v>5339-00-74</v>
      </c>
      <c r="E3482" s="3" t="str">
        <f>CLEAN("V WAUZEKA  LED CROSSWALKS SIGNS")</f>
        <v>V WAUZEKA  LED CROSSWALKS SIGNS</v>
      </c>
      <c r="F3482" s="3" t="str">
        <f>CLEAN("STH 60 / STATION ST INTERSECTION")</f>
        <v>STH 60 / STATION ST INTERSECTION</v>
      </c>
      <c r="G3482" s="3" t="str">
        <f>CLEAN("LED CROSSWALKS SIGNS")</f>
        <v>LED CROSSWALKS SIGNS</v>
      </c>
      <c r="H3482" s="2" t="str">
        <f>CLEAN("NON HWY")</f>
        <v>NON HWY</v>
      </c>
      <c r="I3482" s="2" t="str">
        <f t="shared" si="516"/>
        <v>290</v>
      </c>
    </row>
    <row r="3483" spans="1:9" x14ac:dyDescent="0.35">
      <c r="A3483" s="2" t="str">
        <f>CLEAN("STATEWIDE")</f>
        <v>STATEWIDE</v>
      </c>
      <c r="B3483" s="2" t="str">
        <f>CLEAN("WEST CENTRAL WIS REGIONAL PLANNING COMM")</f>
        <v>WEST CENTRAL WIS REGIONAL PLANNING COMM</v>
      </c>
      <c r="C3483" s="2" t="s">
        <v>3428</v>
      </c>
      <c r="D3483" s="2" t="str">
        <f>CLEAN("1009-00-70")</f>
        <v>1009-00-70</v>
      </c>
      <c r="E3483" s="3" t="str">
        <f>CLEAN("WCWRPC SRTS PLAN SFY 2015")</f>
        <v>WCWRPC SRTS PLAN SFY 2015</v>
      </c>
      <c r="F3483" s="3" t="str">
        <f>CLEAN("WCWRPC COUNTIES")</f>
        <v>WCWRPC COUNTIES</v>
      </c>
      <c r="G3483" s="3" t="str">
        <f>CLEAN("WCWRPC SRTS PLAN")</f>
        <v>WCWRPC SRTS PLAN</v>
      </c>
      <c r="H3483" s="2" t="str">
        <f>CLEAN("LOC STR")</f>
        <v>LOC STR</v>
      </c>
      <c r="I3483" s="2" t="str">
        <f t="shared" si="516"/>
        <v>290</v>
      </c>
    </row>
    <row r="3484" spans="1:9" x14ac:dyDescent="0.35">
      <c r="A3484" s="2" t="str">
        <f>CLEAN("STATEWIDE")</f>
        <v>STATEWIDE</v>
      </c>
      <c r="B3484" s="2" t="str">
        <f>CLEAN("WEST CENTRAL WIS REGIONAL PLANNING COMM")</f>
        <v>WEST CENTRAL WIS REGIONAL PLANNING COMM</v>
      </c>
      <c r="C3484" s="2" t="s">
        <v>2596</v>
      </c>
      <c r="D3484" s="2" t="str">
        <f>CLEAN("1009-01-19")</f>
        <v>1009-01-19</v>
      </c>
      <c r="E3484" s="3" t="str">
        <f>CLEAN("West Central WI RPC SRTS")</f>
        <v>West Central WI RPC SRTS</v>
      </c>
      <c r="F3484" s="3" t="str">
        <f>CLEAN("REGION-WIDE SAFE ROUTES TO SCHOOL")</f>
        <v>REGION-WIDE SAFE ROUTES TO SCHOOL</v>
      </c>
      <c r="G3484" s="3" t="str">
        <f>CLEAN("NON-INF SAFE ROUTES TO SCHOOL")</f>
        <v>NON-INF SAFE ROUTES TO SCHOOL</v>
      </c>
      <c r="H3484" s="2" t="str">
        <f>CLEAN("NON HWY")</f>
        <v>NON HWY</v>
      </c>
      <c r="I3484" s="2" t="str">
        <f t="shared" si="516"/>
        <v>290</v>
      </c>
    </row>
    <row r="3485" spans="1:9" x14ac:dyDescent="0.35">
      <c r="A3485" s="2" t="str">
        <f>CLEAN("POLK")</f>
        <v>POLK</v>
      </c>
      <c r="B3485" s="2" t="str">
        <f>CLEAN("WEST CENTRAL WIS REGIONAL PLANNING COMM")</f>
        <v>WEST CENTRAL WIS REGIONAL PLANNING COMM</v>
      </c>
      <c r="C3485" s="2" t="s">
        <v>3333</v>
      </c>
      <c r="D3485" s="2" t="str">
        <f>CLEAN("1009-01-29")</f>
        <v>1009-01-29</v>
      </c>
      <c r="E3485" s="3" t="str">
        <f>CLEAN("SRTS PLANS  VAR SCHOOL DISTRICTS")</f>
        <v>SRTS PLANS  VAR SCHOOL DISTRICTS</v>
      </c>
      <c r="F3485" s="3" t="str">
        <f>CLEAN("WCWRPC  REGIONAL SRTS PROGRAM")</f>
        <v>WCWRPC  REGIONAL SRTS PROGRAM</v>
      </c>
      <c r="G3485" s="3" t="str">
        <f>CLEAN("SAFE ROUTES TO SCHOOLS PLANS/TAP")</f>
        <v>SAFE ROUTES TO SCHOOLS PLANS/TAP</v>
      </c>
      <c r="H3485" s="2" t="str">
        <f>CLEAN("OFF SYS")</f>
        <v>OFF SYS</v>
      </c>
      <c r="I3485" s="2" t="str">
        <f t="shared" si="516"/>
        <v>290</v>
      </c>
    </row>
    <row r="3486" spans="1:9" x14ac:dyDescent="0.35">
      <c r="A3486" s="2" t="str">
        <f>CLEAN("POLK")</f>
        <v>POLK</v>
      </c>
      <c r="B3486" s="2" t="str">
        <f>CLEAN("WEST CENTRAL WIS REGIONAL PLANNING COMM")</f>
        <v>WEST CENTRAL WIS REGIONAL PLANNING COMM</v>
      </c>
      <c r="C3486" s="2" t="s">
        <v>3334</v>
      </c>
      <c r="D3486" s="2" t="str">
        <f>CLEAN("1009-24-26")</f>
        <v>1009-24-26</v>
      </c>
      <c r="E3486" s="3" t="str">
        <f>CLEAN("WCWRPC SRTS PROGRAM")</f>
        <v>WCWRPC SRTS PROGRAM</v>
      </c>
      <c r="F3486" s="3" t="str">
        <f>CLEAN("WCWRPC  REGIONAL SRTS PROGRAM")</f>
        <v>WCWRPC  REGIONAL SRTS PROGRAM</v>
      </c>
      <c r="G3486" s="3" t="str">
        <f>CLEAN("SAFE ROUTES TO SCHOOLS PLANS/TAP")</f>
        <v>SAFE ROUTES TO SCHOOLS PLANS/TAP</v>
      </c>
      <c r="H3486" s="2" t="str">
        <f>CLEAN("OFF SYS")</f>
        <v>OFF SYS</v>
      </c>
      <c r="I3486" s="2" t="str">
        <f t="shared" si="516"/>
        <v>290</v>
      </c>
    </row>
    <row r="3487" spans="1:9" x14ac:dyDescent="0.35">
      <c r="A3487" s="2" t="str">
        <f>CLEAN("LA CROSSE")</f>
        <v>LA CROSSE</v>
      </c>
      <c r="B3487" s="2" t="str">
        <f>CLEAN("WEST SALEM SCHOOL DISTRICT")</f>
        <v>WEST SALEM SCHOOL DISTRICT</v>
      </c>
      <c r="C3487" s="2" t="s">
        <v>3340</v>
      </c>
      <c r="D3487" s="2" t="str">
        <f>CLEAN("1009-01-30")</f>
        <v>1009-01-30</v>
      </c>
      <c r="E3487" s="3" t="str">
        <f>CLEAN("West Salem SRTS Study and Program")</f>
        <v>West Salem SRTS Study and Program</v>
      </c>
      <c r="F3487" s="3" t="str">
        <f>CLEAN("WEST SALEM SCHOOL DISTRICT")</f>
        <v>WEST SALEM SCHOOL DISTRICT</v>
      </c>
      <c r="G3487" s="3" t="str">
        <f>CLEAN("SRTS IMPROVEMENTS")</f>
        <v>SRTS IMPROVEMENTS</v>
      </c>
      <c r="H3487" s="2" t="str">
        <f>CLEAN("NON HWY")</f>
        <v>NON HWY</v>
      </c>
      <c r="I3487" s="2" t="str">
        <f t="shared" si="516"/>
        <v>290</v>
      </c>
    </row>
    <row r="3488" spans="1:9" x14ac:dyDescent="0.35">
      <c r="A3488" s="2" t="str">
        <f>CLEAN("WINNEBAGO")</f>
        <v>WINNEBAGO</v>
      </c>
      <c r="B3488" s="2" t="str">
        <f>CLEAN("WINNEBAGO COUNTY")</f>
        <v>WINNEBAGO COUNTY</v>
      </c>
      <c r="C3488" s="2" t="s">
        <v>2437</v>
      </c>
      <c r="D3488" s="2" t="str">
        <f>CLEAN("4629-03-00")</f>
        <v>4629-03-00</v>
      </c>
      <c r="E3488" s="3" t="str">
        <f>CLEAN("MENASHA - APPLETON")</f>
        <v>MENASHA - APPLETON</v>
      </c>
      <c r="F3488" s="3" t="str">
        <f>CLEAN("STH 10/441 - S ONEIDA STREET")</f>
        <v>STH 10/441 - S ONEIDA STREET</v>
      </c>
      <c r="G3488" s="3" t="str">
        <f>CLEAN("DSGN/MISC/CRP")</f>
        <v>DSGN/MISC/CRP</v>
      </c>
      <c r="H3488" s="2" t="str">
        <f>CLEAN("CTH AP")</f>
        <v>CTH AP</v>
      </c>
      <c r="I3488" s="2" t="str">
        <f>CLEAN("206")</f>
        <v>206</v>
      </c>
    </row>
    <row r="3489" spans="1:9" x14ac:dyDescent="0.35">
      <c r="A3489" s="2" t="str">
        <f>CLEAN("WINNEBAGO")</f>
        <v>WINNEBAGO</v>
      </c>
      <c r="B3489" s="2" t="str">
        <f>CLEAN("WINNEBAGO COUNTY")</f>
        <v>WINNEBAGO COUNTY</v>
      </c>
      <c r="C3489" s="2" t="s">
        <v>2445</v>
      </c>
      <c r="D3489" s="2" t="str">
        <f>CLEAN("4646-02-00")</f>
        <v>4646-02-00</v>
      </c>
      <c r="E3489" s="3" t="str">
        <f>CLEAN("C MENASHA  CTH P")</f>
        <v>C MENASHA  CTH P</v>
      </c>
      <c r="F3489" s="3" t="str">
        <f>CLEAN("STH 47 TO MIDWAY ROAD")</f>
        <v>STH 47 TO MIDWAY ROAD</v>
      </c>
      <c r="G3489" s="3" t="str">
        <f>CLEAN("DSGN/RECST")</f>
        <v>DSGN/RECST</v>
      </c>
      <c r="H3489" s="2" t="str">
        <f>CLEAN("CTH P")</f>
        <v>CTH P</v>
      </c>
      <c r="I3489" s="2" t="str">
        <f>CLEAN("206")</f>
        <v>206</v>
      </c>
    </row>
    <row r="3490" spans="1:9" x14ac:dyDescent="0.35">
      <c r="A3490" s="2" t="str">
        <f>CLEAN("WINNEBAGO")</f>
        <v>WINNEBAGO</v>
      </c>
      <c r="B3490" s="2" t="str">
        <f>CLEAN("WINNEBAGO COUNTY")</f>
        <v>WINNEBAGO COUNTY</v>
      </c>
      <c r="C3490" s="2" t="s">
        <v>1114</v>
      </c>
      <c r="D3490" s="2" t="str">
        <f>CLEAN("4646-02-71")</f>
        <v>4646-02-71</v>
      </c>
      <c r="E3490" s="3" t="str">
        <f>CLEAN("C MENASHA  CTH P")</f>
        <v>C MENASHA  CTH P</v>
      </c>
      <c r="F3490" s="3" t="str">
        <f>CLEAN("STH 47 TO MIDWAY ROAD")</f>
        <v>STH 47 TO MIDWAY ROAD</v>
      </c>
      <c r="G3490" s="3" t="str">
        <f>CLEAN("CONSTR OPS/RECST")</f>
        <v>CONSTR OPS/RECST</v>
      </c>
      <c r="H3490" s="2" t="str">
        <f>CLEAN("CTH P")</f>
        <v>CTH P</v>
      </c>
      <c r="I3490" s="2" t="str">
        <f>CLEAN("206")</f>
        <v>206</v>
      </c>
    </row>
    <row r="3491" spans="1:9" x14ac:dyDescent="0.35">
      <c r="A3491" s="2" t="str">
        <f>CLEAN("DODGE")</f>
        <v>DODGE</v>
      </c>
      <c r="B3491" s="2" t="str">
        <f t="shared" ref="B3491:B3531" si="517">CLEAN("WISCONSIN &amp; SOUTHERN RAILROAD")</f>
        <v>WISCONSIN &amp; SOUTHERN RAILROAD</v>
      </c>
      <c r="C3491" s="2" t="s">
        <v>3265</v>
      </c>
      <c r="D3491" s="2" t="str">
        <f>CLEAN("1009-85-19")</f>
        <v>1009-85-19</v>
      </c>
      <c r="E3491" s="3" t="str">
        <f>CLEAN("T OF RUBICON  CTH P")</f>
        <v>T OF RUBICON  CTH P</v>
      </c>
      <c r="F3491" s="3" t="str">
        <f>CLEAN("WSOR X-ING 387029T")</f>
        <v>WSOR X-ING 387029T</v>
      </c>
      <c r="G3491" s="3" t="str">
        <f>CLEAN("RR OPS/SAFETY/OCR/SIGNALS &amp; GATES")</f>
        <v>RR OPS/SAFETY/OCR/SIGNALS &amp; GATES</v>
      </c>
      <c r="H3491" s="2" t="str">
        <f>CLEAN("CTH P")</f>
        <v>CTH P</v>
      </c>
      <c r="I3491" s="2" t="str">
        <f t="shared" ref="I3491:I3496" si="518">CLEAN("207")</f>
        <v>207</v>
      </c>
    </row>
    <row r="3492" spans="1:9" x14ac:dyDescent="0.35">
      <c r="A3492" s="2" t="str">
        <f>CLEAN("DODGE")</f>
        <v>DODGE</v>
      </c>
      <c r="B3492" s="2" t="str">
        <f t="shared" si="517"/>
        <v>WISCONSIN &amp; SOUTHERN RAILROAD</v>
      </c>
      <c r="C3492" s="2" t="s">
        <v>3256</v>
      </c>
      <c r="D3492" s="2" t="str">
        <f>CLEAN("1009-85-20")</f>
        <v>1009-85-20</v>
      </c>
      <c r="E3492" s="3" t="str">
        <f>CLEAN("T OF HERMAN  CTH WS")</f>
        <v>T OF HERMAN  CTH WS</v>
      </c>
      <c r="F3492" s="3" t="str">
        <f>CLEAN("WSOR X-ING 387035W")</f>
        <v>WSOR X-ING 387035W</v>
      </c>
      <c r="G3492" s="3" t="str">
        <f>CLEAN("RR OPS/SAFETY/OCR/SIGNAL &amp; GATES")</f>
        <v>RR OPS/SAFETY/OCR/SIGNAL &amp; GATES</v>
      </c>
      <c r="H3492" s="2" t="str">
        <f>CLEAN("CTH WS")</f>
        <v>CTH WS</v>
      </c>
      <c r="I3492" s="2" t="str">
        <f t="shared" si="518"/>
        <v>207</v>
      </c>
    </row>
    <row r="3493" spans="1:9" x14ac:dyDescent="0.35">
      <c r="A3493" s="2" t="str">
        <f>CLEAN("DODGE")</f>
        <v>DODGE</v>
      </c>
      <c r="B3493" s="2" t="str">
        <f t="shared" si="517"/>
        <v>WISCONSIN &amp; SOUTHERN RAILROAD</v>
      </c>
      <c r="C3493" s="2" t="s">
        <v>3257</v>
      </c>
      <c r="D3493" s="2" t="str">
        <f>CLEAN("1009-91-97")</f>
        <v>1009-91-97</v>
      </c>
      <c r="E3493" s="3" t="str">
        <f>CLEAN("T OF HERMAN  CTH WS")</f>
        <v>T OF HERMAN  CTH WS</v>
      </c>
      <c r="F3493" s="3" t="str">
        <f>CLEAN("WSOR X-ING 387035W")</f>
        <v>WSOR X-ING 387035W</v>
      </c>
      <c r="G3493" s="3" t="str">
        <f>CLEAN("RR OPS/SAFETY/OCR/SIGNAL &amp; GATES")</f>
        <v>RR OPS/SAFETY/OCR/SIGNAL &amp; GATES</v>
      </c>
      <c r="H3493" s="2" t="str">
        <f>CLEAN("CTH WS")</f>
        <v>CTH WS</v>
      </c>
      <c r="I3493" s="2" t="str">
        <f t="shared" si="518"/>
        <v>207</v>
      </c>
    </row>
    <row r="3494" spans="1:9" x14ac:dyDescent="0.35">
      <c r="A3494" s="2" t="str">
        <f>CLEAN("DODGE")</f>
        <v>DODGE</v>
      </c>
      <c r="B3494" s="2" t="str">
        <f t="shared" si="517"/>
        <v>WISCONSIN &amp; SOUTHERN RAILROAD</v>
      </c>
      <c r="C3494" s="2" t="s">
        <v>3430</v>
      </c>
      <c r="D3494" s="2" t="str">
        <f>CLEAN("1009-91-99")</f>
        <v>1009-91-99</v>
      </c>
      <c r="E3494" s="3" t="str">
        <f>CLEAN("CTH P  T OF RUBICON")</f>
        <v>CTH P  T OF RUBICON</v>
      </c>
      <c r="F3494" s="3" t="str">
        <f>CLEAN("FRA X-ING 387029T")</f>
        <v>FRA X-ING 387029T</v>
      </c>
      <c r="G3494" s="3" t="str">
        <f>CLEAN("WSOR X-ING SIGNAL &amp; GATES")</f>
        <v>WSOR X-ING SIGNAL &amp; GATES</v>
      </c>
      <c r="H3494" s="2" t="str">
        <f>CLEAN("CTH P")</f>
        <v>CTH P</v>
      </c>
      <c r="I3494" s="2" t="str">
        <f t="shared" si="518"/>
        <v>207</v>
      </c>
    </row>
    <row r="3495" spans="1:9" x14ac:dyDescent="0.35">
      <c r="A3495" s="2" t="str">
        <f>CLEAN("MILWAUKEE")</f>
        <v>MILWAUKEE</v>
      </c>
      <c r="B3495" s="2" t="str">
        <f t="shared" si="517"/>
        <v>WISCONSIN &amp; SOUTHERN RAILROAD</v>
      </c>
      <c r="C3495" s="2" t="s">
        <v>3263</v>
      </c>
      <c r="D3495" s="2" t="str">
        <f>CLEAN("1009-92-94")</f>
        <v>1009-92-94</v>
      </c>
      <c r="E3495" s="3" t="str">
        <f>CLEAN("C OF MILWAUKEE  GOOD HOPE ROAD")</f>
        <v>C OF MILWAUKEE  GOOD HOPE ROAD</v>
      </c>
      <c r="F3495" s="3" t="str">
        <f>CLEAN("WSOR X-ING 386972L")</f>
        <v>WSOR X-ING 386972L</v>
      </c>
      <c r="G3495" s="3" t="str">
        <f>CLEAN("RR OPS/SAFETY/OCR/SIGNALS &amp; GATES")</f>
        <v>RR OPS/SAFETY/OCR/SIGNALS &amp; GATES</v>
      </c>
      <c r="H3495" s="2" t="str">
        <f>CLEAN("CTH PP")</f>
        <v>CTH PP</v>
      </c>
      <c r="I3495" s="2" t="str">
        <f t="shared" si="518"/>
        <v>207</v>
      </c>
    </row>
    <row r="3496" spans="1:9" x14ac:dyDescent="0.35">
      <c r="A3496" s="2" t="str">
        <f>CLEAN("MILWAUKEE")</f>
        <v>MILWAUKEE</v>
      </c>
      <c r="B3496" s="2" t="str">
        <f t="shared" si="517"/>
        <v>WISCONSIN &amp; SOUTHERN RAILROAD</v>
      </c>
      <c r="C3496" s="2" t="s">
        <v>3264</v>
      </c>
      <c r="D3496" s="2" t="str">
        <f>CLEAN("1009-92-95")</f>
        <v>1009-92-95</v>
      </c>
      <c r="E3496" s="3" t="str">
        <f>CLEAN("C OF MILWAUKEE  CALUMET ROAD")</f>
        <v>C OF MILWAUKEE  CALUMET ROAD</v>
      </c>
      <c r="F3496" s="3" t="str">
        <f>CLEAN("WSOR X-ING 386973T")</f>
        <v>WSOR X-ING 386973T</v>
      </c>
      <c r="G3496" s="3" t="str">
        <f>CLEAN("RR OPS/SAFETY/OCR/SIGNALS &amp; GATES")</f>
        <v>RR OPS/SAFETY/OCR/SIGNALS &amp; GATES</v>
      </c>
      <c r="H3496" s="2" t="str">
        <f>CLEAN("LOC STR")</f>
        <v>LOC STR</v>
      </c>
      <c r="I3496" s="2" t="str">
        <f t="shared" si="518"/>
        <v>207</v>
      </c>
    </row>
    <row r="3497" spans="1:9" x14ac:dyDescent="0.35">
      <c r="A3497" s="2" t="str">
        <f>CLEAN("DODGE")</f>
        <v>DODGE</v>
      </c>
      <c r="B3497" s="2" t="str">
        <f t="shared" si="517"/>
        <v>WISCONSIN &amp; SOUTHERN RAILROAD</v>
      </c>
      <c r="C3497" s="2" t="s">
        <v>3205</v>
      </c>
      <c r="D3497" s="2" t="str">
        <f>CLEAN("1390-06-50")</f>
        <v>1390-06-50</v>
      </c>
      <c r="E3497" s="3" t="str">
        <f>CLEAN("WATERTOWN - WAUPUN")</f>
        <v>WATERTOWN - WAUPUN</v>
      </c>
      <c r="F3497" s="3" t="str">
        <f>CLEAN("WISC &amp; SOUTHERN RR XING 387053U")</f>
        <v>WISC &amp; SOUTHERN RR XING 387053U</v>
      </c>
      <c r="G3497" s="3" t="str">
        <f>CLEAN("RR OPS/ CROSSING REPAIR/ RESURFACE")</f>
        <v>RR OPS/ CROSSING REPAIR/ RESURFACE</v>
      </c>
      <c r="H3497" s="2" t="str">
        <f>CLEAN("STH 026")</f>
        <v>STH 026</v>
      </c>
      <c r="I3497" s="2" t="str">
        <f>CLEAN("303")</f>
        <v>303</v>
      </c>
    </row>
    <row r="3498" spans="1:9" x14ac:dyDescent="0.35">
      <c r="A3498" s="2" t="str">
        <f>CLEAN("DODGE")</f>
        <v>DODGE</v>
      </c>
      <c r="B3498" s="2" t="str">
        <f t="shared" si="517"/>
        <v>WISCONSIN &amp; SOUTHERN RAILROAD</v>
      </c>
      <c r="C3498" s="2" t="s">
        <v>3206</v>
      </c>
      <c r="D3498" s="2" t="str">
        <f>CLEAN("1390-06-52")</f>
        <v>1390-06-52</v>
      </c>
      <c r="E3498" s="3" t="str">
        <f>CLEAN("WATERTOWN - WAUPUN")</f>
        <v>WATERTOWN - WAUPUN</v>
      </c>
      <c r="F3498" s="3" t="str">
        <f>CLEAN("WISC &amp; SOUTHERN RR XING 387632D")</f>
        <v>WISC &amp; SOUTHERN RR XING 387632D</v>
      </c>
      <c r="G3498" s="3" t="str">
        <f>CLEAN("RR OPS/ CROSSING REPAIR/ RESURFACE")</f>
        <v>RR OPS/ CROSSING REPAIR/ RESURFACE</v>
      </c>
      <c r="H3498" s="2" t="str">
        <f>CLEAN("STH 026")</f>
        <v>STH 026</v>
      </c>
      <c r="I3498" s="2" t="str">
        <f>CLEAN("303")</f>
        <v>303</v>
      </c>
    </row>
    <row r="3499" spans="1:9" x14ac:dyDescent="0.35">
      <c r="A3499" s="2" t="str">
        <f>CLEAN("ROCK")</f>
        <v>ROCK</v>
      </c>
      <c r="B3499" s="2" t="str">
        <f t="shared" si="517"/>
        <v>WISCONSIN &amp; SOUTHERN RAILROAD</v>
      </c>
      <c r="C3499" s="2" t="s">
        <v>3236</v>
      </c>
      <c r="D3499" s="2" t="str">
        <f>CLEAN("1706-00-50")</f>
        <v>1706-00-50</v>
      </c>
      <c r="E3499" s="3" t="str">
        <f>CLEAN("T ROCK  STH 11")</f>
        <v>T ROCK  STH 11</v>
      </c>
      <c r="F3499" s="3" t="str">
        <f>CLEAN("WSOR RR XING 917706J")</f>
        <v>WSOR RR XING 917706J</v>
      </c>
      <c r="G3499" s="3" t="str">
        <f>CLEAN("RR OPS/NEW CROSSING SURFACE/MIS")</f>
        <v>RR OPS/NEW CROSSING SURFACE/MIS</v>
      </c>
      <c r="H3499" s="2" t="str">
        <f>CLEAN("STH 011")</f>
        <v>STH 011</v>
      </c>
      <c r="I3499" s="2" t="str">
        <f>CLEAN("207")</f>
        <v>207</v>
      </c>
    </row>
    <row r="3500" spans="1:9" x14ac:dyDescent="0.35">
      <c r="A3500" s="2" t="str">
        <f>CLEAN("GREEN")</f>
        <v>GREEN</v>
      </c>
      <c r="B3500" s="2" t="str">
        <f t="shared" si="517"/>
        <v>WISCONSIN &amp; SOUTHERN RAILROAD</v>
      </c>
      <c r="C3500" s="2" t="s">
        <v>3209</v>
      </c>
      <c r="D3500" s="2" t="str">
        <f>CLEAN("1706-04-52")</f>
        <v>1706-04-52</v>
      </c>
      <c r="E3500" s="3" t="str">
        <f>CLEAN("MONROE - BRODHEAD")</f>
        <v>MONROE - BRODHEAD</v>
      </c>
      <c r="F3500" s="3" t="str">
        <f>CLEAN("WISC &amp; SOUTHERN RR XING 392473J")</f>
        <v>WISC &amp; SOUTHERN RR XING 392473J</v>
      </c>
      <c r="G3500" s="3" t="str">
        <f>CLEAN("RR OPS/ CROSSING REPAIR/ RESURFACE")</f>
        <v>RR OPS/ CROSSING REPAIR/ RESURFACE</v>
      </c>
      <c r="H3500" s="2" t="str">
        <f>CLEAN("STH 011")</f>
        <v>STH 011</v>
      </c>
      <c r="I3500" s="2" t="str">
        <f>CLEAN("303")</f>
        <v>303</v>
      </c>
    </row>
    <row r="3501" spans="1:9" x14ac:dyDescent="0.35">
      <c r="A3501" s="2" t="str">
        <f>CLEAN("MILWAUKEE")</f>
        <v>MILWAUKEE</v>
      </c>
      <c r="B3501" s="2" t="str">
        <f t="shared" si="517"/>
        <v>WISCONSIN &amp; SOUTHERN RAILROAD</v>
      </c>
      <c r="C3501" s="2" t="s">
        <v>3305</v>
      </c>
      <c r="D3501" s="2" t="str">
        <f>CLEAN("2145-07-50")</f>
        <v>2145-07-50</v>
      </c>
      <c r="E3501" s="3" t="str">
        <f>CLEAN("C MILWAUKEE  BRADLEY ROAD CROSSING")</f>
        <v>C MILWAUKEE  BRADLEY ROAD CROSSING</v>
      </c>
      <c r="F3501" s="3" t="str">
        <f>CLEAN("WISC &amp; SOUTHERN RR(WSOR)XING386975G")</f>
        <v>WISC &amp; SOUTHERN RR(WSOR)XING386975G</v>
      </c>
      <c r="G3501" s="3" t="str">
        <f>CLEAN("RR/REPLACE WARNING DEVICE EQUIPMENT")</f>
        <v>RR/REPLACE WARNING DEVICE EQUIPMENT</v>
      </c>
      <c r="H3501" s="2" t="str">
        <f>CLEAN("LOC STR")</f>
        <v>LOC STR</v>
      </c>
      <c r="I3501" s="2" t="str">
        <f>CLEAN("207")</f>
        <v>207</v>
      </c>
    </row>
    <row r="3502" spans="1:9" x14ac:dyDescent="0.35">
      <c r="A3502" s="2" t="str">
        <f>CLEAN("MILWAUKEE")</f>
        <v>MILWAUKEE</v>
      </c>
      <c r="B3502" s="2" t="str">
        <f t="shared" si="517"/>
        <v>WISCONSIN &amp; SOUTHERN RAILROAD</v>
      </c>
      <c r="C3502" s="2" t="s">
        <v>3292</v>
      </c>
      <c r="D3502" s="2" t="str">
        <f>CLEAN("2270-04-50")</f>
        <v>2270-04-50</v>
      </c>
      <c r="E3502" s="3" t="str">
        <f>CLEAN("STH 57-VIL BROWN DEER &amp; CITY MEQUON")</f>
        <v>STH 57-VIL BROWN DEER &amp; CITY MEQUON</v>
      </c>
      <c r="F3502" s="3" t="str">
        <f>CLEAN("TEUTONIA AVENUE TO MEQUON ROAD")</f>
        <v>TEUTONIA AVENUE TO MEQUON ROAD</v>
      </c>
      <c r="G3502" s="3" t="str">
        <f>CLEAN("RR/CROSSING SURFACE/NO 386 836L")</f>
        <v>RR/CROSSING SURFACE/NO 386 836L</v>
      </c>
      <c r="H3502" s="2" t="str">
        <f>CLEAN("STH 100")</f>
        <v>STH 100</v>
      </c>
      <c r="I3502" s="2" t="str">
        <f>CLEAN("303")</f>
        <v>303</v>
      </c>
    </row>
    <row r="3503" spans="1:9" x14ac:dyDescent="0.35">
      <c r="A3503" s="2" t="str">
        <f>CLEAN("WASHINGTON")</f>
        <v>WASHINGTON</v>
      </c>
      <c r="B3503" s="2" t="str">
        <f t="shared" si="517"/>
        <v>WISCONSIN &amp; SOUTHERN RAILROAD</v>
      </c>
      <c r="C3503" s="2" t="s">
        <v>3321</v>
      </c>
      <c r="D3503" s="2" t="str">
        <f>CLEAN("2310-13-51")</f>
        <v>2310-13-51</v>
      </c>
      <c r="E3503" s="3" t="str">
        <f>CLEAN("MAIN ST  VILLAGE JACKSON")</f>
        <v>MAIN ST  VILLAGE JACKSON</v>
      </c>
      <c r="F3503" s="3" t="str">
        <f>CLEAN("CTH P TO EAGLE DR")</f>
        <v>CTH P TO EAGLE DR</v>
      </c>
      <c r="G3503" s="3" t="str">
        <f>CLEAN("RR/XING SURFACE  WSOR 178932R")</f>
        <v>RR/XING SURFACE  WSOR 178932R</v>
      </c>
      <c r="H3503" s="2" t="str">
        <f>CLEAN("STH 060")</f>
        <v>STH 060</v>
      </c>
      <c r="I3503" s="2" t="str">
        <f>CLEAN("303")</f>
        <v>303</v>
      </c>
    </row>
    <row r="3504" spans="1:9" x14ac:dyDescent="0.35">
      <c r="A3504" s="2" t="str">
        <f>CLEAN("MILWAUKEE")</f>
        <v>MILWAUKEE</v>
      </c>
      <c r="B3504" s="2" t="str">
        <f t="shared" si="517"/>
        <v>WISCONSIN &amp; SOUTHERN RAILROAD</v>
      </c>
      <c r="C3504" s="2" t="s">
        <v>3304</v>
      </c>
      <c r="D3504" s="2" t="str">
        <f>CLEAN("2984-16-52")</f>
        <v>2984-16-52</v>
      </c>
      <c r="E3504" s="3" t="str">
        <f>CLEAN("C MILWAUKEE  107TH ST CROSSING")</f>
        <v>C MILWAUKEE  107TH ST CROSSING</v>
      </c>
      <c r="F3504" s="3" t="str">
        <f>CLEAN("WIS &amp; SOUTHRN RR(WSOR) XING386977V")</f>
        <v>WIS &amp; SOUTHRN RR(WSOR) XING386977V</v>
      </c>
      <c r="G3504" s="3" t="str">
        <f>CLEAN("RR/REPLACE WARNING DEVICE EQUIP")</f>
        <v>RR/REPLACE WARNING DEVICE EQUIP</v>
      </c>
      <c r="H3504" s="2" t="str">
        <f>CLEAN("LOC STR")</f>
        <v>LOC STR</v>
      </c>
      <c r="I3504" s="2" t="str">
        <f>CLEAN("207")</f>
        <v>207</v>
      </c>
    </row>
    <row r="3505" spans="1:9" x14ac:dyDescent="0.35">
      <c r="A3505" s="2" t="str">
        <f>CLEAN("DODGE")</f>
        <v>DODGE</v>
      </c>
      <c r="B3505" s="2" t="str">
        <f t="shared" si="517"/>
        <v>WISCONSIN &amp; SOUTHERN RAILROAD</v>
      </c>
      <c r="C3505" s="2" t="s">
        <v>3208</v>
      </c>
      <c r="D3505" s="2" t="str">
        <f>CLEAN("3030-02-54")</f>
        <v>3030-02-54</v>
      </c>
      <c r="E3505" s="3" t="str">
        <f>CLEAN("OCONOMOWOC - MAYVILLE")</f>
        <v>OCONOMOWOC - MAYVILLE</v>
      </c>
      <c r="F3505" s="3" t="str">
        <f>CLEAN("WISC &amp; SOUTHERN RR XING 389029A")</f>
        <v>WISC &amp; SOUTHERN RR XING 389029A</v>
      </c>
      <c r="G3505" s="3" t="str">
        <f>CLEAN("RR OPS/ CROSSING REPAIR/ RESURFACE")</f>
        <v>RR OPS/ CROSSING REPAIR/ RESURFACE</v>
      </c>
      <c r="H3505" s="2" t="str">
        <f>CLEAN("STH 067")</f>
        <v>STH 067</v>
      </c>
      <c r="I3505" s="2" t="str">
        <f>CLEAN("303")</f>
        <v>303</v>
      </c>
    </row>
    <row r="3506" spans="1:9" x14ac:dyDescent="0.35">
      <c r="A3506" s="2" t="str">
        <f>CLEAN("DODGE")</f>
        <v>DODGE</v>
      </c>
      <c r="B3506" s="2" t="str">
        <f t="shared" si="517"/>
        <v>WISCONSIN &amp; SOUTHERN RAILROAD</v>
      </c>
      <c r="C3506" s="2" t="s">
        <v>3211</v>
      </c>
      <c r="D3506" s="2" t="str">
        <f>CLEAN("3030-02-56")</f>
        <v>3030-02-56</v>
      </c>
      <c r="E3506" s="3" t="str">
        <f>CLEAN("OCONOMOWOC - MAYVILLE")</f>
        <v>OCONOMOWOC - MAYVILLE</v>
      </c>
      <c r="F3506" s="3" t="str">
        <f>CLEAN("WSOR RR XING 387041A")</f>
        <v>WSOR RR XING 387041A</v>
      </c>
      <c r="G3506" s="3" t="str">
        <f>CLEAN("RR OPS/ CROSSING REPAIR/ RESURFACE")</f>
        <v>RR OPS/ CROSSING REPAIR/ RESURFACE</v>
      </c>
      <c r="H3506" s="2" t="str">
        <f>CLEAN("STH 067")</f>
        <v>STH 067</v>
      </c>
      <c r="I3506" s="2" t="str">
        <f>CLEAN("303")</f>
        <v>303</v>
      </c>
    </row>
    <row r="3507" spans="1:9" x14ac:dyDescent="0.35">
      <c r="A3507" s="2" t="str">
        <f>CLEAN("WALWORTH")</f>
        <v>WALWORTH</v>
      </c>
      <c r="B3507" s="2" t="str">
        <f t="shared" si="517"/>
        <v>WISCONSIN &amp; SOUTHERN RAILROAD</v>
      </c>
      <c r="C3507" s="2" t="s">
        <v>3318</v>
      </c>
      <c r="D3507" s="2" t="str">
        <f>CLEAN("3110-06-50")</f>
        <v>3110-06-50</v>
      </c>
      <c r="E3507" s="3" t="str">
        <f>CLEAN("MILWAUKEE ST  CITY OF WHITEWATER")</f>
        <v>MILWAUKEE ST  CITY OF WHITEWATER</v>
      </c>
      <c r="F3507" s="3" t="str">
        <f>CLEAN("NEWCOMB STREET INTERSECTION")</f>
        <v>NEWCOMB STREET INTERSECTION</v>
      </c>
      <c r="G3507" s="3" t="str">
        <f>CLEAN("RR/XING NO 391 595K CROSS SURFACE")</f>
        <v>RR/XING NO 391 595K CROSS SURFACE</v>
      </c>
      <c r="H3507" s="2" t="str">
        <f>CLEAN("STH 059")</f>
        <v>STH 059</v>
      </c>
      <c r="I3507" s="2" t="str">
        <f>CLEAN("303")</f>
        <v>303</v>
      </c>
    </row>
    <row r="3508" spans="1:9" x14ac:dyDescent="0.35">
      <c r="A3508" s="2" t="str">
        <f>CLEAN("WAUKESHA")</f>
        <v>WAUKESHA</v>
      </c>
      <c r="B3508" s="2" t="str">
        <f t="shared" si="517"/>
        <v>WISCONSIN &amp; SOUTHERN RAILROAD</v>
      </c>
      <c r="C3508" s="2" t="s">
        <v>3326</v>
      </c>
      <c r="D3508" s="2" t="str">
        <f>CLEAN("3110-08-50")</f>
        <v>3110-08-50</v>
      </c>
      <c r="E3508" s="3" t="str">
        <f>CLEAN("WHITEWATER - MILWAUKEE")</f>
        <v>WHITEWATER - MILWAUKEE</v>
      </c>
      <c r="F3508" s="3" t="str">
        <f>CLEAN("W COUNTY LINE TO CTH X")</f>
        <v>W COUNTY LINE TO CTH X</v>
      </c>
      <c r="G3508" s="3" t="str">
        <f>CLEAN("RR/XING SURFACE/WSOR DOT 391546N")</f>
        <v>RR/XING SURFACE/WSOR DOT 391546N</v>
      </c>
      <c r="H3508" s="2" t="str">
        <f>CLEAN("STH 059")</f>
        <v>STH 059</v>
      </c>
      <c r="I3508" s="2" t="str">
        <f>CLEAN("303")</f>
        <v>303</v>
      </c>
    </row>
    <row r="3509" spans="1:9" x14ac:dyDescent="0.35">
      <c r="A3509" s="2" t="str">
        <f>CLEAN("ROCK")</f>
        <v>ROCK</v>
      </c>
      <c r="B3509" s="2" t="str">
        <f t="shared" si="517"/>
        <v>WISCONSIN &amp; SOUTHERN RAILROAD</v>
      </c>
      <c r="C3509" s="2" t="s">
        <v>3207</v>
      </c>
      <c r="D3509" s="2" t="str">
        <f>CLEAN("3320-02-51")</f>
        <v>3320-02-51</v>
      </c>
      <c r="E3509" s="3" t="str">
        <f>CLEAN("BERGEN - EMERALD GROVE")</f>
        <v>BERGEN - EMERALD GROVE</v>
      </c>
      <c r="F3509" s="3" t="str">
        <f>CLEAN("WISC &amp; SOUTHERN RR XING 387963R")</f>
        <v>WISC &amp; SOUTHERN RR XING 387963R</v>
      </c>
      <c r="G3509" s="3" t="str">
        <f>CLEAN("RR OPS/ CROSSING REPAIR/ RESURFACE")</f>
        <v>RR OPS/ CROSSING REPAIR/ RESURFACE</v>
      </c>
      <c r="H3509" s="2" t="str">
        <f>CLEAN("STH 140")</f>
        <v>STH 140</v>
      </c>
      <c r="I3509" s="2" t="str">
        <f>CLEAN("303")</f>
        <v>303</v>
      </c>
    </row>
    <row r="3510" spans="1:9" x14ac:dyDescent="0.35">
      <c r="A3510" s="2" t="str">
        <f>CLEAN("BROWN")</f>
        <v>BROWN</v>
      </c>
      <c r="B3510" s="2" t="str">
        <f t="shared" si="517"/>
        <v>WISCONSIN &amp; SOUTHERN RAILROAD</v>
      </c>
      <c r="C3510" s="2" t="s">
        <v>3181</v>
      </c>
      <c r="D3510" s="2" t="str">
        <f>CLEAN("4125-16-50")</f>
        <v>4125-16-50</v>
      </c>
      <c r="E3510" s="3" t="str">
        <f>CLEAN("RR XING SURFACE 181499D")</f>
        <v>RR XING SURFACE 181499D</v>
      </c>
      <c r="F3510" s="3" t="str">
        <f>CLEAN("V BELLEVUE MP 106.02 DENMARK SPUR")</f>
        <v>V BELLEVUE MP 106.02 DENMARK SPUR</v>
      </c>
      <c r="G3510" s="3" t="str">
        <f>CLEAN("RR CROSSING XING SURFACE")</f>
        <v>RR CROSSING XING SURFACE</v>
      </c>
      <c r="H3510" s="2" t="str">
        <f>CLEAN("STH 029")</f>
        <v>STH 029</v>
      </c>
      <c r="I3510" s="2" t="str">
        <f>CLEAN("207")</f>
        <v>207</v>
      </c>
    </row>
    <row r="3511" spans="1:9" x14ac:dyDescent="0.35">
      <c r="A3511" s="2" t="str">
        <f>CLEAN("FOND DU LAC")</f>
        <v>FOND DU LAC</v>
      </c>
      <c r="B3511" s="2" t="str">
        <f t="shared" si="517"/>
        <v>WISCONSIN &amp; SOUTHERN RAILROAD</v>
      </c>
      <c r="C3511" s="2" t="s">
        <v>3253</v>
      </c>
      <c r="D3511" s="2" t="str">
        <f>CLEAN("4831-06-50")</f>
        <v>4831-06-50</v>
      </c>
      <c r="E3511" s="3" t="str">
        <f>CLEAN("C FOND DU LAC  PIONEER RD")</f>
        <v>C FOND DU LAC  PIONEER RD</v>
      </c>
      <c r="F3511" s="3" t="str">
        <f>CLEAN("WSOR 179034S XING SURFACE EDEN SPUR")</f>
        <v>WSOR 179034S XING SURFACE EDEN SPUR</v>
      </c>
      <c r="G3511" s="3" t="str">
        <f>CLEAN("RR OPS/RR CROSSING REPAIR")</f>
        <v>RR OPS/RR CROSSING REPAIR</v>
      </c>
      <c r="H3511" s="2" t="str">
        <f>CLEAN("CTH VV")</f>
        <v>CTH VV</v>
      </c>
      <c r="I3511" s="2" t="str">
        <f>CLEAN("206")</f>
        <v>206</v>
      </c>
    </row>
    <row r="3512" spans="1:9" x14ac:dyDescent="0.35">
      <c r="A3512" s="2" t="str">
        <f>CLEAN("GRANT")</f>
        <v>GRANT</v>
      </c>
      <c r="B3512" s="2" t="str">
        <f t="shared" si="517"/>
        <v>WISCONSIN &amp; SOUTHERN RAILROAD</v>
      </c>
      <c r="C3512" s="2" t="s">
        <v>3309</v>
      </c>
      <c r="D3512" s="2" t="str">
        <f>CLEAN("5138-00-51")</f>
        <v>5138-00-51</v>
      </c>
      <c r="E3512" s="3" t="str">
        <f>CLEAN("AVOCA - RICHLAND CENTER")</f>
        <v>AVOCA - RICHLAND CENTER</v>
      </c>
      <c r="F3512" s="3" t="str">
        <f>CLEAN("WSOR RR XING 391867V MP 194.70")</f>
        <v>WSOR RR XING 391867V MP 194.70</v>
      </c>
      <c r="G3512" s="3" t="str">
        <f>CLEAN("RR/SURFACE MAINLINE/51380070/PVRPLA")</f>
        <v>RR/SURFACE MAINLINE/51380070/PVRPLA</v>
      </c>
      <c r="H3512" s="2" t="str">
        <f>CLEAN("STH 080")</f>
        <v>STH 080</v>
      </c>
      <c r="I3512" s="2" t="str">
        <f t="shared" ref="I3512:I3518" si="519">CLEAN("303")</f>
        <v>303</v>
      </c>
    </row>
    <row r="3513" spans="1:9" x14ac:dyDescent="0.35">
      <c r="A3513" s="2" t="str">
        <f>CLEAN("SAUK")</f>
        <v>SAUK</v>
      </c>
      <c r="B3513" s="2" t="str">
        <f t="shared" si="517"/>
        <v>WISCONSIN &amp; SOUTHERN RAILROAD</v>
      </c>
      <c r="C3513" s="2" t="s">
        <v>3210</v>
      </c>
      <c r="D3513" s="2" t="str">
        <f>CLEAN("5255-01-51")</f>
        <v>5255-01-51</v>
      </c>
      <c r="E3513" s="3" t="str">
        <f>CLEAN("MINERAL POINT - SPRING GREEN")</f>
        <v>MINERAL POINT - SPRING GREEN</v>
      </c>
      <c r="F3513" s="3" t="str">
        <f>CLEAN("WSOR RR X SURFACE 391819F MP 175.56")</f>
        <v>WSOR RR X SURFACE 391819F MP 175.56</v>
      </c>
      <c r="G3513" s="3" t="str">
        <f>CLEAN("RR OPS/ CROSSING REPAIR/ RESURFACE")</f>
        <v>RR OPS/ CROSSING REPAIR/ RESURFACE</v>
      </c>
      <c r="H3513" s="2" t="str">
        <f>CLEAN("STH 023")</f>
        <v>STH 023</v>
      </c>
      <c r="I3513" s="2" t="str">
        <f t="shared" si="519"/>
        <v>303</v>
      </c>
    </row>
    <row r="3514" spans="1:9" x14ac:dyDescent="0.35">
      <c r="A3514" s="2" t="str">
        <f>CLEAN("DANE")</f>
        <v>DANE</v>
      </c>
      <c r="B3514" s="2" t="str">
        <f t="shared" si="517"/>
        <v>WISCONSIN &amp; SOUTHERN RAILROAD</v>
      </c>
      <c r="C3514" s="2" t="s">
        <v>3280</v>
      </c>
      <c r="D3514" s="2" t="str">
        <f>CLEAN("5280-03-50")</f>
        <v>5280-03-50</v>
      </c>
      <c r="E3514" s="3" t="str">
        <f>CLEAN("MADISON - LODI")</f>
        <v>MADISON - LODI</v>
      </c>
      <c r="F3514" s="3" t="str">
        <f>CLEAN("WSOR RR X SURFACE 178068H/917705C")</f>
        <v>WSOR RR X SURFACE 178068H/917705C</v>
      </c>
      <c r="G3514" s="3" t="str">
        <f>CLEAN("RR OPS/XING RESURFACE/PVRPLA")</f>
        <v>RR OPS/XING RESURFACE/PVRPLA</v>
      </c>
      <c r="H3514" s="2" t="str">
        <f>CLEAN("STH 113")</f>
        <v>STH 113</v>
      </c>
      <c r="I3514" s="2" t="str">
        <f t="shared" si="519"/>
        <v>303</v>
      </c>
    </row>
    <row r="3515" spans="1:9" x14ac:dyDescent="0.35">
      <c r="A3515" s="2" t="str">
        <f>CLEAN("DANE")</f>
        <v>DANE</v>
      </c>
      <c r="B3515" s="2" t="str">
        <f t="shared" si="517"/>
        <v>WISCONSIN &amp; SOUTHERN RAILROAD</v>
      </c>
      <c r="C3515" s="2" t="s">
        <v>3289</v>
      </c>
      <c r="D3515" s="2" t="str">
        <f>CLEAN("5280-03-51")</f>
        <v>5280-03-51</v>
      </c>
      <c r="E3515" s="3" t="str">
        <f>CLEAN("MADISON - LODI")</f>
        <v>MADISON - LODI</v>
      </c>
      <c r="F3515" s="3" t="str">
        <f>CLEAN("WISC &amp; SOUTHERN RR XING 178076A")</f>
        <v>WISC &amp; SOUTHERN RR XING 178076A</v>
      </c>
      <c r="G3515" s="3" t="str">
        <f>CLEAN("RR/CROSSING REPAIR/RESURFACE/MISC")</f>
        <v>RR/CROSSING REPAIR/RESURFACE/MISC</v>
      </c>
      <c r="H3515" s="2" t="str">
        <f>CLEAN("STH 113")</f>
        <v>STH 113</v>
      </c>
      <c r="I3515" s="2" t="str">
        <f t="shared" si="519"/>
        <v>303</v>
      </c>
    </row>
    <row r="3516" spans="1:9" x14ac:dyDescent="0.35">
      <c r="A3516" s="2" t="str">
        <f>CLEAN("DANE")</f>
        <v>DANE</v>
      </c>
      <c r="B3516" s="2" t="str">
        <f t="shared" si="517"/>
        <v>WISCONSIN &amp; SOUTHERN RAILROAD</v>
      </c>
      <c r="C3516" s="2" t="s">
        <v>3284</v>
      </c>
      <c r="D3516" s="2" t="str">
        <f>CLEAN("5280-03-56")</f>
        <v>5280-03-56</v>
      </c>
      <c r="E3516" s="3" t="str">
        <f>CLEAN("MADISON - LODI")</f>
        <v>MADISON - LODI</v>
      </c>
      <c r="F3516" s="3" t="str">
        <f>CLEAN("WSOR RR XING 178084S  MP 194.70")</f>
        <v>WSOR RR XING 178084S  MP 194.70</v>
      </c>
      <c r="G3516" s="3" t="str">
        <f>CLEAN("RR/ SURFACE/ 5280-03-73/ PVRPLA")</f>
        <v>RR/ SURFACE/ 5280-03-73/ PVRPLA</v>
      </c>
      <c r="H3516" s="2" t="str">
        <f>CLEAN("STH 113")</f>
        <v>STH 113</v>
      </c>
      <c r="I3516" s="2" t="str">
        <f t="shared" si="519"/>
        <v>303</v>
      </c>
    </row>
    <row r="3517" spans="1:9" x14ac:dyDescent="0.35">
      <c r="A3517" s="2" t="str">
        <f>CLEAN("DANE")</f>
        <v>DANE</v>
      </c>
      <c r="B3517" s="2" t="str">
        <f t="shared" si="517"/>
        <v>WISCONSIN &amp; SOUTHERN RAILROAD</v>
      </c>
      <c r="C3517" s="2" t="s">
        <v>3247</v>
      </c>
      <c r="D3517" s="2" t="str">
        <f>CLEAN("5310-02-55")</f>
        <v>5310-02-55</v>
      </c>
      <c r="E3517" s="3" t="str">
        <f>CLEAN("SPRING GREEN - MADISON")</f>
        <v>SPRING GREEN - MADISON</v>
      </c>
      <c r="F3517" s="3" t="str">
        <f>CLEAN("WISC &amp; SOUTHERN RR XING 391751U")</f>
        <v>WISC &amp; SOUTHERN RR XING 391751U</v>
      </c>
      <c r="G3517" s="3" t="str">
        <f>CLEAN("RR OPS/REPLACE CROSSING SURF/MISC")</f>
        <v>RR OPS/REPLACE CROSSING SURF/MISC</v>
      </c>
      <c r="H3517" s="2" t="str">
        <f>CLEAN("USH 014")</f>
        <v>USH 014</v>
      </c>
      <c r="I3517" s="2" t="str">
        <f t="shared" si="519"/>
        <v>303</v>
      </c>
    </row>
    <row r="3518" spans="1:9" x14ac:dyDescent="0.35">
      <c r="A3518" s="2" t="str">
        <f>CLEAN("ROCK")</f>
        <v>ROCK</v>
      </c>
      <c r="B3518" s="2" t="str">
        <f t="shared" si="517"/>
        <v>WISCONSIN &amp; SOUTHERN RAILROAD</v>
      </c>
      <c r="C3518" s="2" t="s">
        <v>3212</v>
      </c>
      <c r="D3518" s="2" t="str">
        <f>CLEAN("5571-00-52")</f>
        <v>5571-00-52</v>
      </c>
      <c r="E3518" s="3" t="str">
        <f>CLEAN("BELOIT - EVANSVILLE")</f>
        <v>BELOIT - EVANSVILLE</v>
      </c>
      <c r="F3518" s="3" t="str">
        <f>CLEAN("WSOR RR XING 392441D &amp; 392442K")</f>
        <v>WSOR RR XING 392441D &amp; 392442K</v>
      </c>
      <c r="G3518" s="3" t="str">
        <f>CLEAN("RR OPS/ CROSSING REPAIR/ RESURFACE")</f>
        <v>RR OPS/ CROSSING REPAIR/ RESURFACE</v>
      </c>
      <c r="H3518" s="2" t="str">
        <f>CLEAN("STH 213")</f>
        <v>STH 213</v>
      </c>
      <c r="I3518" s="2" t="str">
        <f t="shared" si="519"/>
        <v>303</v>
      </c>
    </row>
    <row r="3519" spans="1:9" x14ac:dyDescent="0.35">
      <c r="A3519" s="2" t="str">
        <f>CLEAN("DANE")</f>
        <v>DANE</v>
      </c>
      <c r="B3519" s="2" t="str">
        <f t="shared" si="517"/>
        <v>WISCONSIN &amp; SOUTHERN RAILROAD</v>
      </c>
      <c r="C3519" s="2" t="s">
        <v>3248</v>
      </c>
      <c r="D3519" s="2" t="str">
        <f>CLEAN("5572-00-50")</f>
        <v>5572-00-50</v>
      </c>
      <c r="E3519" s="3" t="str">
        <f>CLEAN("V CROSS PLAINS  CTH KP")</f>
        <v>V CROSS PLAINS  CTH KP</v>
      </c>
      <c r="F3519" s="3" t="str">
        <f>CLEAN("WSOR RR XING 391768X")</f>
        <v>WSOR RR XING 391768X</v>
      </c>
      <c r="G3519" s="3" t="str">
        <f>CLEAN("RR OPS/REPLACE DETECTION EQUIP/MISC")</f>
        <v>RR OPS/REPLACE DETECTION EQUIP/MISC</v>
      </c>
      <c r="H3519" s="2" t="str">
        <f>CLEAN("CTH KP")</f>
        <v>CTH KP</v>
      </c>
      <c r="I3519" s="2" t="str">
        <f>CLEAN("207")</f>
        <v>207</v>
      </c>
    </row>
    <row r="3520" spans="1:9" x14ac:dyDescent="0.35">
      <c r="A3520" s="2" t="str">
        <f>CLEAN("DANE")</f>
        <v>DANE</v>
      </c>
      <c r="B3520" s="2" t="str">
        <f t="shared" si="517"/>
        <v>WISCONSIN &amp; SOUTHERN RAILROAD</v>
      </c>
      <c r="C3520" s="2" t="s">
        <v>3218</v>
      </c>
      <c r="D3520" s="2" t="str">
        <f>CLEAN("5600-00-50")</f>
        <v>5600-00-50</v>
      </c>
      <c r="E3520" s="3" t="str">
        <f>CLEAN("BLACK EARTH - SAUK CITY")</f>
        <v>BLACK EARTH - SAUK CITY</v>
      </c>
      <c r="F3520" s="3" t="str">
        <f>CLEAN("WISC &amp; SOUTHERN RR XING 391783A")</f>
        <v>WISC &amp; SOUTHERN RR XING 391783A</v>
      </c>
      <c r="G3520" s="3" t="str">
        <f>CLEAN("RR OPS/CROSSING REPAIR")</f>
        <v>RR OPS/CROSSING REPAIR</v>
      </c>
      <c r="H3520" s="2" t="str">
        <f>CLEAN("STH 078")</f>
        <v>STH 078</v>
      </c>
      <c r="I3520" s="2" t="str">
        <f>CLEAN("207")</f>
        <v>207</v>
      </c>
    </row>
    <row r="3521" spans="1:9" x14ac:dyDescent="0.35">
      <c r="A3521" s="2" t="str">
        <f>CLEAN("SAUK")</f>
        <v>SAUK</v>
      </c>
      <c r="B3521" s="2" t="str">
        <f t="shared" si="517"/>
        <v>WISCONSIN &amp; SOUTHERN RAILROAD</v>
      </c>
      <c r="C3521" s="2" t="s">
        <v>3219</v>
      </c>
      <c r="D3521" s="2" t="str">
        <f>CLEAN("5620-00-50")</f>
        <v>5620-00-50</v>
      </c>
      <c r="E3521" s="3" t="str">
        <f>CLEAN("LODI - BARABOO")</f>
        <v>LODI - BARABOO</v>
      </c>
      <c r="F3521" s="3" t="str">
        <f>CLEAN("WSOR RR XING 178115N")</f>
        <v>WSOR RR XING 178115N</v>
      </c>
      <c r="G3521" s="3" t="str">
        <f>CLEAN("RR OPS/CROSSING REPAIR")</f>
        <v>RR OPS/CROSSING REPAIR</v>
      </c>
      <c r="H3521" s="2" t="str">
        <f>CLEAN("STH 113")</f>
        <v>STH 113</v>
      </c>
      <c r="I3521" s="2" t="str">
        <f>CLEAN("207")</f>
        <v>207</v>
      </c>
    </row>
    <row r="3522" spans="1:9" x14ac:dyDescent="0.35">
      <c r="A3522" s="2" t="str">
        <f>CLEAN("ROCK")</f>
        <v>ROCK</v>
      </c>
      <c r="B3522" s="2" t="str">
        <f t="shared" si="517"/>
        <v>WISCONSIN &amp; SOUTHERN RAILROAD</v>
      </c>
      <c r="C3522" s="2" t="s">
        <v>3277</v>
      </c>
      <c r="D3522" s="2" t="str">
        <f>CLEAN("5650-01-51")</f>
        <v>5650-01-51</v>
      </c>
      <c r="E3522" s="3" t="str">
        <f>CLEAN("EVANSVILLE - EDGERTON")</f>
        <v>EVANSVILLE - EDGERTON</v>
      </c>
      <c r="F3522" s="3" t="str">
        <f>CLEAN("WISC &amp; SOUTHERN XING 391661V")</f>
        <v>WISC &amp; SOUTHERN XING 391661V</v>
      </c>
      <c r="G3522" s="3" t="str">
        <f>CLEAN("RR OPS/WARNING DEVICE UPDATE/MISC")</f>
        <v>RR OPS/WARNING DEVICE UPDATE/MISC</v>
      </c>
      <c r="H3522" s="2" t="str">
        <f>CLEAN("STH 059")</f>
        <v>STH 059</v>
      </c>
      <c r="I3522" s="2" t="str">
        <f>CLEAN("303")</f>
        <v>303</v>
      </c>
    </row>
    <row r="3523" spans="1:9" x14ac:dyDescent="0.35">
      <c r="A3523" s="2" t="str">
        <f>CLEAN("DANE")</f>
        <v>DANE</v>
      </c>
      <c r="B3523" s="2" t="str">
        <f t="shared" si="517"/>
        <v>WISCONSIN &amp; SOUTHERN RAILROAD</v>
      </c>
      <c r="C3523" s="2" t="s">
        <v>3249</v>
      </c>
      <c r="D3523" s="2" t="str">
        <f>CLEAN("5685-00-50")</f>
        <v>5685-00-50</v>
      </c>
      <c r="E3523" s="3" t="str">
        <f>CLEAN("V MCFARLAND  HOLSCHER ROAD")</f>
        <v>V MCFARLAND  HOLSCHER ROAD</v>
      </c>
      <c r="F3523" s="3" t="str">
        <f>CLEAN("WSOR RR XING 911336M")</f>
        <v>WSOR RR XING 911336M</v>
      </c>
      <c r="G3523" s="3" t="str">
        <f>CLEAN("RR OPS/REPLACE DETECTION EQUIP/MISC")</f>
        <v>RR OPS/REPLACE DETECTION EQUIP/MISC</v>
      </c>
      <c r="H3523" s="2" t="str">
        <f>CLEAN("LOC STR")</f>
        <v>LOC STR</v>
      </c>
      <c r="I3523" s="2" t="str">
        <f>CLEAN("207")</f>
        <v>207</v>
      </c>
    </row>
    <row r="3524" spans="1:9" x14ac:dyDescent="0.35">
      <c r="A3524" s="2" t="str">
        <f>CLEAN("RICHLAND")</f>
        <v>RICHLAND</v>
      </c>
      <c r="B3524" s="2" t="str">
        <f t="shared" si="517"/>
        <v>WISCONSIN &amp; SOUTHERN RAILROAD</v>
      </c>
      <c r="C3524" s="2" t="s">
        <v>3317</v>
      </c>
      <c r="D3524" s="2" t="str">
        <f>CLEAN("5770-02-50")</f>
        <v>5770-02-50</v>
      </c>
      <c r="E3524" s="3" t="str">
        <f>CLEAN("LONE ROCK - STH 154")</f>
        <v>LONE ROCK - STH 154</v>
      </c>
      <c r="F3524" s="3" t="str">
        <f>CLEAN("WISCONSIN RIVER TO USH 14")</f>
        <v>WISCONSIN RIVER TO USH 14</v>
      </c>
      <c r="G3524" s="3" t="str">
        <f>CLEAN("RR/WSOR CROSSING SURFACE/RSRF")</f>
        <v>RR/WSOR CROSSING SURFACE/RSRF</v>
      </c>
      <c r="H3524" s="2" t="str">
        <f>CLEAN("STH 130")</f>
        <v>STH 130</v>
      </c>
      <c r="I3524" s="2" t="str">
        <f>CLEAN("303")</f>
        <v>303</v>
      </c>
    </row>
    <row r="3525" spans="1:9" x14ac:dyDescent="0.35">
      <c r="A3525" s="2" t="str">
        <f>CLEAN("SAUK")</f>
        <v>SAUK</v>
      </c>
      <c r="B3525" s="2" t="str">
        <f t="shared" si="517"/>
        <v>WISCONSIN &amp; SOUTHERN RAILROAD</v>
      </c>
      <c r="C3525" s="2" t="s">
        <v>3099</v>
      </c>
      <c r="D3525" s="2" t="str">
        <f>CLEAN("5799-00-52")</f>
        <v>5799-00-52</v>
      </c>
      <c r="E3525" s="3" t="str">
        <f>CLEAN("C REEDSBURG  SOUTH DEWEY AVENUE")</f>
        <v>C REEDSBURG  SOUTH DEWEY AVENUE</v>
      </c>
      <c r="F3525" s="3" t="str">
        <f>CLEAN("RAILROAD STREET TO MAIN STREET")</f>
        <v>RAILROAD STREET TO MAIN STREET</v>
      </c>
      <c r="G3525" s="3" t="str">
        <f>CLEAN("R/R OPS/ CROSSING")</f>
        <v>R/R OPS/ CROSSING</v>
      </c>
      <c r="H3525" s="2" t="str">
        <f>CLEAN("LOC STR")</f>
        <v>LOC STR</v>
      </c>
      <c r="I3525" s="2" t="str">
        <f>CLEAN("206")</f>
        <v>206</v>
      </c>
    </row>
    <row r="3526" spans="1:9" x14ac:dyDescent="0.35">
      <c r="A3526" s="2" t="str">
        <f>CLEAN("DANE")</f>
        <v>DANE</v>
      </c>
      <c r="B3526" s="2" t="str">
        <f t="shared" si="517"/>
        <v>WISCONSIN &amp; SOUTHERN RAILROAD</v>
      </c>
      <c r="C3526" s="2" t="s">
        <v>3286</v>
      </c>
      <c r="D3526" s="2" t="str">
        <f>CLEAN("5845-16-52")</f>
        <v>5845-16-52</v>
      </c>
      <c r="E3526" s="3" t="str">
        <f>CLEAN("STOUGHTON - MADISON")</f>
        <v>STOUGHTON - MADISON</v>
      </c>
      <c r="F3526" s="3" t="str">
        <f>CLEAN("SPRING RD TO FIFTH ST")</f>
        <v>SPRING RD TO FIFTH ST</v>
      </c>
      <c r="G3526" s="3" t="str">
        <f>CLEAN("RR/391684C SURFACE/RECST")</f>
        <v>RR/391684C SURFACE/RECST</v>
      </c>
      <c r="H3526" s="2" t="str">
        <f>CLEAN("USH 051")</f>
        <v>USH 051</v>
      </c>
      <c r="I3526" s="2" t="str">
        <f>CLEAN("302")</f>
        <v>302</v>
      </c>
    </row>
    <row r="3527" spans="1:9" x14ac:dyDescent="0.35">
      <c r="A3527" s="2" t="str">
        <f>CLEAN("GRANT")</f>
        <v>GRANT</v>
      </c>
      <c r="B3527" s="2" t="str">
        <f t="shared" si="517"/>
        <v>WISCONSIN &amp; SOUTHERN RAILROAD</v>
      </c>
      <c r="C3527" s="2" t="s">
        <v>3239</v>
      </c>
      <c r="D3527" s="2" t="str">
        <f>CLEAN("5940-00-50")</f>
        <v>5940-00-50</v>
      </c>
      <c r="E3527" s="3" t="str">
        <f>CLEAN("V MUSCODA  STH 80")</f>
        <v>V MUSCODA  STH 80</v>
      </c>
      <c r="F3527" s="3" t="str">
        <f>CLEAN("WSOR RR XING 391867V SOUTH")</f>
        <v>WSOR RR XING 391867V SOUTH</v>
      </c>
      <c r="G3527" s="3" t="str">
        <f>CLEAN("RR OPS/NEW CROSSING SURFACE/MISC")</f>
        <v>RR OPS/NEW CROSSING SURFACE/MISC</v>
      </c>
      <c r="H3527" s="2" t="str">
        <f>CLEAN("STH 080")</f>
        <v>STH 080</v>
      </c>
      <c r="I3527" s="2" t="str">
        <f>CLEAN("207")</f>
        <v>207</v>
      </c>
    </row>
    <row r="3528" spans="1:9" x14ac:dyDescent="0.35">
      <c r="A3528" s="2" t="str">
        <f>CLEAN("DANE")</f>
        <v>DANE</v>
      </c>
      <c r="B3528" s="2" t="str">
        <f t="shared" si="517"/>
        <v>WISCONSIN &amp; SOUTHERN RAILROAD</v>
      </c>
      <c r="C3528" s="2" t="s">
        <v>3311</v>
      </c>
      <c r="D3528" s="2" t="str">
        <f>CLEAN("5992-10-52")</f>
        <v>5992-10-52</v>
      </c>
      <c r="E3528" s="3" t="str">
        <f>CLEAN("C MADISON  GLACIAL DRUMLIN TRAIL")</f>
        <v>C MADISON  GLACIAL DRUMLIN TRAIL</v>
      </c>
      <c r="F3528" s="3" t="str">
        <f>CLEAN("WSOR RR XING 177338B  MP 74.95")</f>
        <v>WSOR RR XING 177338B  MP 74.95</v>
      </c>
      <c r="G3528" s="3" t="str">
        <f>CLEAN("RR/SURFACE/5992-10-50/RECST")</f>
        <v>RR/SURFACE/5992-10-50/RECST</v>
      </c>
      <c r="H3528" s="2" t="str">
        <f>CLEAN("LOC STR")</f>
        <v>LOC STR</v>
      </c>
      <c r="I3528" s="2" t="str">
        <f>CLEAN("206")</f>
        <v>206</v>
      </c>
    </row>
    <row r="3529" spans="1:9" x14ac:dyDescent="0.35">
      <c r="A3529" s="2" t="str">
        <f>CLEAN("DANE")</f>
        <v>DANE</v>
      </c>
      <c r="B3529" s="2" t="str">
        <f t="shared" si="517"/>
        <v>WISCONSIN &amp; SOUTHERN RAILROAD</v>
      </c>
      <c r="C3529" s="2" t="s">
        <v>3106</v>
      </c>
      <c r="D3529" s="2" t="str">
        <f>CLEAN("5992-11-58")</f>
        <v>5992-11-58</v>
      </c>
      <c r="E3529" s="3" t="str">
        <f>CLEAN("CITY OF MADISON  UNIVERSITY AVENUE")</f>
        <v>CITY OF MADISON  UNIVERSITY AVENUE</v>
      </c>
      <c r="F3529" s="3" t="str">
        <f>CLEAN("SHOREWOOD BLVD TO UNIVERSITY BAY DR")</f>
        <v>SHOREWOOD BLVD TO UNIVERSITY BAY DR</v>
      </c>
      <c r="G3529" s="3" t="str">
        <f>CLEAN("R/R OPS/ CROSSING SURFACE")</f>
        <v>R/R OPS/ CROSSING SURFACE</v>
      </c>
      <c r="H3529" s="2" t="str">
        <f>CLEAN("LOC STR")</f>
        <v>LOC STR</v>
      </c>
      <c r="I3529" s="2" t="str">
        <f>CLEAN("206")</f>
        <v>206</v>
      </c>
    </row>
    <row r="3530" spans="1:9" x14ac:dyDescent="0.35">
      <c r="A3530" s="2" t="str">
        <f>CLEAN("WINNEBAGO")</f>
        <v>WINNEBAGO</v>
      </c>
      <c r="B3530" s="2" t="str">
        <f t="shared" si="517"/>
        <v>WISCONSIN &amp; SOUTHERN RAILROAD</v>
      </c>
      <c r="C3530" s="2" t="s">
        <v>3182</v>
      </c>
      <c r="D3530" s="2" t="str">
        <f>CLEAN("6540-08-50")</f>
        <v>6540-08-50</v>
      </c>
      <c r="E3530" s="3" t="str">
        <f>CLEAN("STH 91 &amp; CLAIRVILLE RD XING SURFACE")</f>
        <v>STH 91 &amp; CLAIRVILLE RD XING SURFACE</v>
      </c>
      <c r="F3530" s="3" t="str">
        <f>CLEAN("WSOR RR 387462L")</f>
        <v>WSOR RR 387462L</v>
      </c>
      <c r="G3530" s="3" t="str">
        <f>CLEAN("RR CROSSING XING SURFACE")</f>
        <v>RR CROSSING XING SURFACE</v>
      </c>
      <c r="H3530" s="2" t="str">
        <f>CLEAN("STH 091")</f>
        <v>STH 091</v>
      </c>
      <c r="I3530" s="2" t="str">
        <f>CLEAN("303")</f>
        <v>303</v>
      </c>
    </row>
    <row r="3531" spans="1:9" x14ac:dyDescent="0.35">
      <c r="A3531" s="2" t="str">
        <f>CLEAN("COLUMBIA")</f>
        <v>COLUMBIA</v>
      </c>
      <c r="B3531" s="2" t="str">
        <f t="shared" si="517"/>
        <v>WISCONSIN &amp; SOUTHERN RAILROAD</v>
      </c>
      <c r="C3531" s="2" t="s">
        <v>3312</v>
      </c>
      <c r="D3531" s="2" t="str">
        <f>CLEAN("6707-01-50")</f>
        <v>6707-01-50</v>
      </c>
      <c r="E3531" s="3" t="str">
        <f>CLEAN("FALL RIVER - CAMBRIA")</f>
        <v>FALL RIVER - CAMBRIA</v>
      </c>
      <c r="F3531" s="3" t="str">
        <f>CLEAN("WSOR RR XING 386952A  MP 164.82")</f>
        <v>WSOR RR XING 386952A  MP 164.82</v>
      </c>
      <c r="G3531" s="3" t="str">
        <f>CLEAN("RR/SURFACE/6707-01-73/PVRPLA")</f>
        <v>RR/SURFACE/6707-01-73/PVRPLA</v>
      </c>
      <c r="H3531" s="2" t="str">
        <f>CLEAN("STH 146")</f>
        <v>STH 146</v>
      </c>
      <c r="I3531" s="2" t="str">
        <f>CLEAN("303")</f>
        <v>303</v>
      </c>
    </row>
    <row r="3532" spans="1:9" x14ac:dyDescent="0.35">
      <c r="A3532" s="2" t="str">
        <f>CLEAN("CALUMET")</f>
        <v>CALUMET</v>
      </c>
      <c r="B3532" s="2" t="str">
        <f t="shared" ref="B3532:B3564" si="520">CLEAN("WISCONSIN CENTRAL LTD")</f>
        <v>WISCONSIN CENTRAL LTD</v>
      </c>
      <c r="C3532" s="2" t="s">
        <v>3261</v>
      </c>
      <c r="D3532" s="2" t="str">
        <f>CLEAN("1009-87-07")</f>
        <v>1009-87-07</v>
      </c>
      <c r="E3532" s="3" t="str">
        <f>CLEAN("T OF CHILTON  CTH PP")</f>
        <v>T OF CHILTON  CTH PP</v>
      </c>
      <c r="F3532" s="3" t="str">
        <f>CLEAN("WCL X-ING 386770N")</f>
        <v>WCL X-ING 386770N</v>
      </c>
      <c r="G3532" s="3" t="str">
        <f>CLEAN("RR OPS/SAFETY/OCR/SIGNALS &amp; GATES")</f>
        <v>RR OPS/SAFETY/OCR/SIGNALS &amp; GATES</v>
      </c>
      <c r="H3532" s="2" t="str">
        <f>CLEAN("CTH PP")</f>
        <v>CTH PP</v>
      </c>
      <c r="I3532" s="2" t="str">
        <f t="shared" ref="I3532:I3542" si="521">CLEAN("207")</f>
        <v>207</v>
      </c>
    </row>
    <row r="3533" spans="1:9" x14ac:dyDescent="0.35">
      <c r="A3533" s="2" t="str">
        <f>CLEAN("FOND DU LAC")</f>
        <v>FOND DU LAC</v>
      </c>
      <c r="B3533" s="2" t="str">
        <f t="shared" si="520"/>
        <v>WISCONSIN CENTRAL LTD</v>
      </c>
      <c r="C3533" s="2" t="s">
        <v>3262</v>
      </c>
      <c r="D3533" s="2" t="str">
        <f>CLEAN("1009-87-11")</f>
        <v>1009-87-11</v>
      </c>
      <c r="E3533" s="3" t="str">
        <f>CLEAN("T OF BYRON  CHURCH ROAD")</f>
        <v>T OF BYRON  CHURCH ROAD</v>
      </c>
      <c r="F3533" s="3" t="str">
        <f>CLEAN("WCL X-ING 692332D")</f>
        <v>WCL X-ING 692332D</v>
      </c>
      <c r="G3533" s="3" t="str">
        <f>CLEAN("RR OPS/SAFETY/OCR/SIGNALS &amp; GATES")</f>
        <v>RR OPS/SAFETY/OCR/SIGNALS &amp; GATES</v>
      </c>
      <c r="H3533" s="2" t="str">
        <f>CLEAN("LOC STR")</f>
        <v>LOC STR</v>
      </c>
      <c r="I3533" s="2" t="str">
        <f t="shared" si="521"/>
        <v>207</v>
      </c>
    </row>
    <row r="3534" spans="1:9" x14ac:dyDescent="0.35">
      <c r="A3534" s="2" t="str">
        <f>CLEAN("WOOD")</f>
        <v>WOOD</v>
      </c>
      <c r="B3534" s="2" t="str">
        <f t="shared" si="520"/>
        <v>WISCONSIN CENTRAL LTD</v>
      </c>
      <c r="C3534" s="2" t="s">
        <v>3267</v>
      </c>
      <c r="D3534" s="2" t="str">
        <f>CLEAN("1009-88-03")</f>
        <v>1009-88-03</v>
      </c>
      <c r="E3534" s="3" t="str">
        <f>CLEAN("T. of Cranmoor  CTH D")</f>
        <v>T. of Cranmoor  CTH D</v>
      </c>
      <c r="F3534" s="3" t="str">
        <f>CLEAN("WCL XING 281619T")</f>
        <v>WCL XING 281619T</v>
      </c>
      <c r="G3534" s="3" t="str">
        <f>CLEAN("RR OPS/SAFETY/OCR/SIGNALS&amp;GATES")</f>
        <v>RR OPS/SAFETY/OCR/SIGNALS&amp;GATES</v>
      </c>
      <c r="H3534" s="2" t="str">
        <f>CLEAN("CTH D")</f>
        <v>CTH D</v>
      </c>
      <c r="I3534" s="2" t="str">
        <f t="shared" si="521"/>
        <v>207</v>
      </c>
    </row>
    <row r="3535" spans="1:9" x14ac:dyDescent="0.35">
      <c r="A3535" s="2" t="str">
        <f>CLEAN("WOOD")</f>
        <v>WOOD</v>
      </c>
      <c r="B3535" s="2" t="str">
        <f t="shared" si="520"/>
        <v>WISCONSIN CENTRAL LTD</v>
      </c>
      <c r="C3535" s="2" t="s">
        <v>3266</v>
      </c>
      <c r="D3535" s="2" t="str">
        <f>CLEAN("1009-88-04")</f>
        <v>1009-88-04</v>
      </c>
      <c r="E3535" s="3" t="str">
        <f>CLEAN("C. of Wisconsin Rapids  25th Ave")</f>
        <v>C. of Wisconsin Rapids  25th Ave</v>
      </c>
      <c r="F3535" s="3" t="str">
        <f>CLEAN("WCL XING  281681D")</f>
        <v>WCL XING  281681D</v>
      </c>
      <c r="G3535" s="3" t="str">
        <f>CLEAN("RR OPS/SAFETY/OCR/SIGNALS&amp;GATES")</f>
        <v>RR OPS/SAFETY/OCR/SIGNALS&amp;GATES</v>
      </c>
      <c r="H3535" s="2" t="str">
        <f>CLEAN("LOC STR")</f>
        <v>LOC STR</v>
      </c>
      <c r="I3535" s="2" t="str">
        <f t="shared" si="521"/>
        <v>207</v>
      </c>
    </row>
    <row r="3536" spans="1:9" x14ac:dyDescent="0.35">
      <c r="A3536" s="2" t="str">
        <f>CLEAN("WOOD")</f>
        <v>WOOD</v>
      </c>
      <c r="B3536" s="2" t="str">
        <f t="shared" si="520"/>
        <v>WISCONSIN CENTRAL LTD</v>
      </c>
      <c r="C3536" s="2" t="s">
        <v>3268</v>
      </c>
      <c r="D3536" s="2" t="str">
        <f>CLEAN("1009-88-05")</f>
        <v>1009-88-05</v>
      </c>
      <c r="E3536" s="3" t="str">
        <f>CLEAN("T. of Dexter  CTH X")</f>
        <v>T. of Dexter  CTH X</v>
      </c>
      <c r="F3536" s="3" t="str">
        <f>CLEAN("WCL XING 281624P")</f>
        <v>WCL XING 281624P</v>
      </c>
      <c r="G3536" s="3" t="str">
        <f>CLEAN("RR OPS/SAFETY/OCR/SIGNALS&amp;GATES")</f>
        <v>RR OPS/SAFETY/OCR/SIGNALS&amp;GATES</v>
      </c>
      <c r="H3536" s="2" t="str">
        <f>CLEAN("CTH X")</f>
        <v>CTH X</v>
      </c>
      <c r="I3536" s="2" t="str">
        <f t="shared" si="521"/>
        <v>207</v>
      </c>
    </row>
    <row r="3537" spans="1:9" x14ac:dyDescent="0.35">
      <c r="A3537" s="2" t="str">
        <f>CLEAN("WOOD")</f>
        <v>WOOD</v>
      </c>
      <c r="B3537" s="2" t="str">
        <f t="shared" si="520"/>
        <v>WISCONSIN CENTRAL LTD</v>
      </c>
      <c r="C3537" s="2" t="s">
        <v>3270</v>
      </c>
      <c r="D3537" s="2" t="str">
        <f>CLEAN("1009-88-06")</f>
        <v>1009-88-06</v>
      </c>
      <c r="E3537" s="3" t="str">
        <f>CLEAN("T. of Remington  Necedah Road")</f>
        <v>T. of Remington  Necedah Road</v>
      </c>
      <c r="F3537" s="3" t="str">
        <f>CLEAN("WCL XING 392689P")</f>
        <v>WCL XING 392689P</v>
      </c>
      <c r="G3537" s="3" t="str">
        <f>CLEAN("RR OPS/SAFETY/OCR/SIGNALS&amp;GATES")</f>
        <v>RR OPS/SAFETY/OCR/SIGNALS&amp;GATES</v>
      </c>
      <c r="H3537" s="2" t="str">
        <f>CLEAN("LOC STR")</f>
        <v>LOC STR</v>
      </c>
      <c r="I3537" s="2" t="str">
        <f t="shared" si="521"/>
        <v>207</v>
      </c>
    </row>
    <row r="3538" spans="1:9" x14ac:dyDescent="0.35">
      <c r="A3538" s="2" t="str">
        <f>CLEAN("WOOD")</f>
        <v>WOOD</v>
      </c>
      <c r="B3538" s="2" t="str">
        <f t="shared" si="520"/>
        <v>WISCONSIN CENTRAL LTD</v>
      </c>
      <c r="C3538" s="2" t="s">
        <v>3269</v>
      </c>
      <c r="D3538" s="2" t="str">
        <f>CLEAN("1009-88-07")</f>
        <v>1009-88-07</v>
      </c>
      <c r="E3538" s="3" t="str">
        <f>CLEAN("T. of Grand Rapids  48th Street")</f>
        <v>T. of Grand Rapids  48th Street</v>
      </c>
      <c r="F3538" s="3" t="str">
        <f>CLEAN("WCL XING 281665U")</f>
        <v>WCL XING 281665U</v>
      </c>
      <c r="G3538" s="3" t="str">
        <f>CLEAN("RR OPS/SAFETY/OCR/SIGNALS&amp;GATES")</f>
        <v>RR OPS/SAFETY/OCR/SIGNALS&amp;GATES</v>
      </c>
      <c r="H3538" s="2" t="str">
        <f>CLEAN("LOC STR")</f>
        <v>LOC STR</v>
      </c>
      <c r="I3538" s="2" t="str">
        <f t="shared" si="521"/>
        <v>207</v>
      </c>
    </row>
    <row r="3539" spans="1:9" x14ac:dyDescent="0.35">
      <c r="A3539" s="2" t="str">
        <f>CLEAN("DOUGLAS")</f>
        <v>DOUGLAS</v>
      </c>
      <c r="B3539" s="2" t="str">
        <f t="shared" si="520"/>
        <v>WISCONSIN CENTRAL LTD</v>
      </c>
      <c r="C3539" s="2" t="s">
        <v>3260</v>
      </c>
      <c r="D3539" s="2" t="str">
        <f>CLEAN("1009-89-03")</f>
        <v>1009-89-03</v>
      </c>
      <c r="E3539" s="3" t="str">
        <f>CLEAN("C OF SUPERIOR  58TH STREET")</f>
        <v>C OF SUPERIOR  58TH STREET</v>
      </c>
      <c r="F3539" s="3" t="str">
        <f>CLEAN("WCL RR X-ING 697407S")</f>
        <v>WCL RR X-ING 697407S</v>
      </c>
      <c r="G3539" s="3" t="str">
        <f>CLEAN("RR OPS/SAFETY/OCR/SIGNALS &amp; GATES")</f>
        <v>RR OPS/SAFETY/OCR/SIGNALS &amp; GATES</v>
      </c>
      <c r="H3539" s="2" t="str">
        <f>CLEAN("LOC STR")</f>
        <v>LOC STR</v>
      </c>
      <c r="I3539" s="2" t="str">
        <f t="shared" si="521"/>
        <v>207</v>
      </c>
    </row>
    <row r="3540" spans="1:9" x14ac:dyDescent="0.35">
      <c r="A3540" s="2" t="str">
        <f>CLEAN("DOUGLAS")</f>
        <v>DOUGLAS</v>
      </c>
      <c r="B3540" s="2" t="str">
        <f t="shared" si="520"/>
        <v>WISCONSIN CENTRAL LTD</v>
      </c>
      <c r="C3540" s="2" t="s">
        <v>3259</v>
      </c>
      <c r="D3540" s="2" t="str">
        <f>CLEAN("1009-89-27")</f>
        <v>1009-89-27</v>
      </c>
      <c r="E3540" s="3" t="str">
        <f>CLEAN("V OLIVER  CTH W (CHICAGO AVE)")</f>
        <v>V OLIVER  CTH W (CHICAGO AVE)</v>
      </c>
      <c r="F3540" s="3" t="str">
        <f>CLEAN("WCL RR X-ING 251873N")</f>
        <v>WCL RR X-ING 251873N</v>
      </c>
      <c r="G3540" s="3" t="str">
        <f>CLEAN("RR OPS/SAFETY/OCR/SIGNALS &amp; GATES")</f>
        <v>RR OPS/SAFETY/OCR/SIGNALS &amp; GATES</v>
      </c>
      <c r="H3540" s="2" t="str">
        <f>CLEAN("CTH W")</f>
        <v>CTH W</v>
      </c>
      <c r="I3540" s="2" t="str">
        <f t="shared" si="521"/>
        <v>207</v>
      </c>
    </row>
    <row r="3541" spans="1:9" x14ac:dyDescent="0.35">
      <c r="A3541" s="2" t="str">
        <f>CLEAN("JACKSON")</f>
        <v>JACKSON</v>
      </c>
      <c r="B3541" s="2" t="str">
        <f t="shared" si="520"/>
        <v>WISCONSIN CENTRAL LTD</v>
      </c>
      <c r="C3541" s="2" t="s">
        <v>3254</v>
      </c>
      <c r="D3541" s="2" t="str">
        <f>CLEAN("1009-95-40")</f>
        <v>1009-95-40</v>
      </c>
      <c r="E3541" s="3" t="str">
        <f>CLEAN("T OF ADAMS  CTH K")</f>
        <v>T OF ADAMS  CTH K</v>
      </c>
      <c r="F3541" s="3" t="str">
        <f>CLEAN("CN RR X-ING 281705P")</f>
        <v>CN RR X-ING 281705P</v>
      </c>
      <c r="G3541" s="3" t="str">
        <f>CLEAN("RR OPS/SAFETY/OCR SIGNALS &amp; GATES")</f>
        <v>RR OPS/SAFETY/OCR SIGNALS &amp; GATES</v>
      </c>
      <c r="H3541" s="2" t="str">
        <f>CLEAN("CTH K")</f>
        <v>CTH K</v>
      </c>
      <c r="I3541" s="2" t="str">
        <f t="shared" si="521"/>
        <v>207</v>
      </c>
    </row>
    <row r="3542" spans="1:9" x14ac:dyDescent="0.35">
      <c r="A3542" s="2" t="str">
        <f>CLEAN("JACKSON")</f>
        <v>JACKSON</v>
      </c>
      <c r="B3542" s="2" t="str">
        <f t="shared" si="520"/>
        <v>WISCONSIN CENTRAL LTD</v>
      </c>
      <c r="C3542" s="2" t="s">
        <v>3255</v>
      </c>
      <c r="D3542" s="2" t="str">
        <f>CLEAN("1009-95-41")</f>
        <v>1009-95-41</v>
      </c>
      <c r="E3542" s="3" t="str">
        <f>CLEAN("T OF ADAMS  CTH E")</f>
        <v>T OF ADAMS  CTH E</v>
      </c>
      <c r="F3542" s="3" t="str">
        <f>CLEAN("CN RR X-ING 281708K")</f>
        <v>CN RR X-ING 281708K</v>
      </c>
      <c r="G3542" s="3" t="str">
        <f>CLEAN("RR OPS/SAFETY/OCR SIGNALS &amp; GATES")</f>
        <v>RR OPS/SAFETY/OCR SIGNALS &amp; GATES</v>
      </c>
      <c r="H3542" s="2" t="str">
        <f>CLEAN("CTH E")</f>
        <v>CTH E</v>
      </c>
      <c r="I3542" s="2" t="str">
        <f t="shared" si="521"/>
        <v>207</v>
      </c>
    </row>
    <row r="3543" spans="1:9" x14ac:dyDescent="0.35">
      <c r="A3543" s="2" t="str">
        <f>CLEAN("OUTAGAMIE")</f>
        <v>OUTAGAMIE</v>
      </c>
      <c r="B3543" s="2" t="str">
        <f t="shared" si="520"/>
        <v>WISCONSIN CENTRAL LTD</v>
      </c>
      <c r="C3543" s="2" t="s">
        <v>639</v>
      </c>
      <c r="D3543" s="2" t="str">
        <f>CLEAN("1146-75-54")</f>
        <v>1146-75-54</v>
      </c>
      <c r="E3543" s="3" t="str">
        <f>CLEAN("STH 76-NEW LONDON")</f>
        <v>STH 76-NEW LONDON</v>
      </c>
      <c r="F3543" s="3" t="str">
        <f>CLEAN("WCL XING SURFACE 181848L")</f>
        <v>WCL XING SURFACE 181848L</v>
      </c>
      <c r="G3543" s="3" t="str">
        <f>CLEAN("CONST/MISC WIDEN RR XING 181848L")</f>
        <v>CONST/MISC WIDEN RR XING 181848L</v>
      </c>
      <c r="H3543" s="2" t="str">
        <f>CLEAN("STH 015")</f>
        <v>STH 015</v>
      </c>
      <c r="I3543" s="2" t="str">
        <f>CLEAN("302")</f>
        <v>302</v>
      </c>
    </row>
    <row r="3544" spans="1:9" x14ac:dyDescent="0.35">
      <c r="A3544" s="2" t="str">
        <f>CLEAN("WOOD")</f>
        <v>WOOD</v>
      </c>
      <c r="B3544" s="2" t="str">
        <f t="shared" si="520"/>
        <v>WISCONSIN CENTRAL LTD</v>
      </c>
      <c r="C3544" s="2" t="s">
        <v>18</v>
      </c>
      <c r="D3544" s="2" t="str">
        <f>CLEAN("1520-01-51")</f>
        <v>1520-01-51</v>
      </c>
      <c r="E3544" s="3" t="str">
        <f>CLEAN("WISCONSIN RAPIDS - PLOVER")</f>
        <v>WISCONSIN RAPIDS - PLOVER</v>
      </c>
      <c r="F3544" s="3" t="str">
        <f>CLEAN("BIRON/PLOVER XING APPROACH REPAIRS")</f>
        <v>BIRON/PLOVER XING APPROACH REPAIRS</v>
      </c>
      <c r="G3544" s="3" t="str">
        <f>CLEAN("BIRON WCL XING SURFACE 281612V")</f>
        <v>BIRON WCL XING SURFACE 281612V</v>
      </c>
      <c r="H3544" s="2" t="str">
        <f>CLEAN("STH 054")</f>
        <v>STH 054</v>
      </c>
      <c r="I3544" s="2" t="str">
        <f>CLEAN("303")</f>
        <v>303</v>
      </c>
    </row>
    <row r="3545" spans="1:9" x14ac:dyDescent="0.35">
      <c r="A3545" s="2" t="str">
        <f>CLEAN("PORTAGE")</f>
        <v>PORTAGE</v>
      </c>
      <c r="B3545" s="2" t="str">
        <f t="shared" si="520"/>
        <v>WISCONSIN CENTRAL LTD</v>
      </c>
      <c r="C3545" s="2" t="s">
        <v>3085</v>
      </c>
      <c r="D3545" s="2" t="str">
        <f>CLEAN("1520-01-53")</f>
        <v>1520-01-53</v>
      </c>
      <c r="E3545" s="3" t="str">
        <f>CLEAN("WISCONSIN RAPIDS - PLOVER")</f>
        <v>WISCONSIN RAPIDS - PLOVER</v>
      </c>
      <c r="F3545" s="3" t="str">
        <f>CLEAN("BIRON/PLOVER XING APPROACH REPAIRS")</f>
        <v>BIRON/PLOVER XING APPROACH REPAIRS</v>
      </c>
      <c r="G3545" s="3" t="str">
        <f>CLEAN("PLOVER WCL XING SURFACE 693765M")</f>
        <v>PLOVER WCL XING SURFACE 693765M</v>
      </c>
      <c r="H3545" s="2" t="str">
        <f>CLEAN("STH 054")</f>
        <v>STH 054</v>
      </c>
      <c r="I3545" s="2" t="str">
        <f>CLEAN("303")</f>
        <v>303</v>
      </c>
    </row>
    <row r="3546" spans="1:9" x14ac:dyDescent="0.35">
      <c r="A3546" s="2" t="str">
        <f>CLEAN("MARATHON")</f>
        <v>MARATHON</v>
      </c>
      <c r="B3546" s="2" t="str">
        <f t="shared" si="520"/>
        <v>WISCONSIN CENTRAL LTD</v>
      </c>
      <c r="C3546" s="2" t="s">
        <v>3427</v>
      </c>
      <c r="D3546" s="2" t="str">
        <f>CLEAN("1620-01-52")</f>
        <v>1620-01-52</v>
      </c>
      <c r="E3546" s="3" t="str">
        <f>CLEAN("MARSHFIELD - ABBOTSFORD")</f>
        <v>MARSHFIELD - ABBOTSFORD</v>
      </c>
      <c r="F3546" s="3" t="str">
        <f>CLEAN("STH 98 TO SOUTH JUNCTION CTH N")</f>
        <v>STH 98 TO SOUTH JUNCTION CTH N</v>
      </c>
      <c r="G3546" s="3" t="str">
        <f>CLEAN("WCL SIGNAL UPGRADES 689933J")</f>
        <v>WCL SIGNAL UPGRADES 689933J</v>
      </c>
      <c r="H3546" s="2" t="str">
        <f>CLEAN("STH 013")</f>
        <v>STH 013</v>
      </c>
      <c r="I3546" s="2" t="str">
        <f>CLEAN("303")</f>
        <v>303</v>
      </c>
    </row>
    <row r="3547" spans="1:9" x14ac:dyDescent="0.35">
      <c r="A3547" s="2" t="str">
        <f>CLEAN("WOOD")</f>
        <v>WOOD</v>
      </c>
      <c r="B3547" s="2" t="str">
        <f t="shared" si="520"/>
        <v>WISCONSIN CENTRAL LTD</v>
      </c>
      <c r="C3547" s="2" t="s">
        <v>3302</v>
      </c>
      <c r="D3547" s="2" t="str">
        <f>CLEAN("1620-03-50")</f>
        <v>1620-03-50</v>
      </c>
      <c r="E3547" s="3" t="str">
        <f>CLEAN("BABCOCK - PITTSVILLE")</f>
        <v>BABCOCK - PITTSVILLE</v>
      </c>
      <c r="F3547" s="3" t="str">
        <f>CLEAN("STH 173 NB TO POPLAR STREET")</f>
        <v>STH 173 NB TO POPLAR STREET</v>
      </c>
      <c r="G3547" s="3" t="str">
        <f>CLEAN("RR/RAIL CROSSING SURFACE")</f>
        <v>RR/RAIL CROSSING SURFACE</v>
      </c>
      <c r="H3547" s="2" t="str">
        <f>CLEAN("STH 054")</f>
        <v>STH 054</v>
      </c>
      <c r="I3547" s="2" t="str">
        <f>CLEAN("303")</f>
        <v>303</v>
      </c>
    </row>
    <row r="3548" spans="1:9" x14ac:dyDescent="0.35">
      <c r="A3548" s="2" t="str">
        <f>CLEAN("RACINE")</f>
        <v>RACINE</v>
      </c>
      <c r="B3548" s="2" t="str">
        <f t="shared" si="520"/>
        <v>WISCONSIN CENTRAL LTD</v>
      </c>
      <c r="C3548" s="2" t="s">
        <v>3325</v>
      </c>
      <c r="D3548" s="2" t="str">
        <f>CLEAN("2698-03-50")</f>
        <v>2698-03-50</v>
      </c>
      <c r="E3548" s="3" t="str">
        <f>CLEAN("EAST TROY - RACINE")</f>
        <v>EAST TROY - RACINE</v>
      </c>
      <c r="F3548" s="3" t="str">
        <f>CLEAN("THOMAS DRIVE TO HONEY CREEK ROAD")</f>
        <v>THOMAS DRIVE TO HONEY CREEK ROAD</v>
      </c>
      <c r="G3548" s="3" t="str">
        <f>CLEAN("RR/XING SURFACE/WI CNTRL 689874J")</f>
        <v>RR/XING SURFACE/WI CNTRL 689874J</v>
      </c>
      <c r="H3548" s="2" t="str">
        <f>CLEAN("STH 020")</f>
        <v>STH 020</v>
      </c>
      <c r="I3548" s="2" t="str">
        <f>CLEAN("303")</f>
        <v>303</v>
      </c>
    </row>
    <row r="3549" spans="1:9" x14ac:dyDescent="0.35">
      <c r="A3549" s="2" t="str">
        <f>CLEAN("WOOD")</f>
        <v>WOOD</v>
      </c>
      <c r="B3549" s="2" t="str">
        <f t="shared" si="520"/>
        <v>WISCONSIN CENTRAL LTD</v>
      </c>
      <c r="C3549" s="2" t="s">
        <v>2545</v>
      </c>
      <c r="D3549" s="2" t="str">
        <f>CLEAN("3710-40-50")</f>
        <v>3710-40-50</v>
      </c>
      <c r="E3549" s="3" t="str">
        <f>CLEAN("C WI RAPIDS  SIGNAL REHABILITATION")</f>
        <v>C WI RAPIDS  SIGNAL REHABILITATION</v>
      </c>
      <c r="F3549" s="3" t="str">
        <f>CLEAN("STH 13/HIGH STREET CROSSING")</f>
        <v>STH 13/HIGH STREET CROSSING</v>
      </c>
      <c r="G3549" s="3" t="str">
        <f>CLEAN("ITS/CONST/CROSSING ID 392723U")</f>
        <v>ITS/CONST/CROSSING ID 392723U</v>
      </c>
      <c r="H3549" s="2" t="str">
        <f>CLEAN("STH 013")</f>
        <v>STH 013</v>
      </c>
      <c r="I3549" s="2" t="str">
        <f>CLEAN("305")</f>
        <v>305</v>
      </c>
    </row>
    <row r="3550" spans="1:9" x14ac:dyDescent="0.35">
      <c r="A3550" s="2" t="str">
        <f>CLEAN("WOOD")</f>
        <v>WOOD</v>
      </c>
      <c r="B3550" s="2" t="str">
        <f t="shared" si="520"/>
        <v>WISCONSIN CENTRAL LTD</v>
      </c>
      <c r="C3550" s="2" t="s">
        <v>2544</v>
      </c>
      <c r="D3550" s="2" t="str">
        <f>CLEAN("3710-40-51")</f>
        <v>3710-40-51</v>
      </c>
      <c r="E3550" s="3" t="str">
        <f>CLEAN("C WI RAPIDS  SIGNAL REHABILITATION")</f>
        <v>C WI RAPIDS  SIGNAL REHABILITATION</v>
      </c>
      <c r="F3550" s="3" t="str">
        <f>CLEAN("STH 13/CHASE STREET CROSSING")</f>
        <v>STH 13/CHASE STREET CROSSING</v>
      </c>
      <c r="G3550" s="3" t="str">
        <f>CLEAN("ITS/CONST/CROSSING ID 392719E")</f>
        <v>ITS/CONST/CROSSING ID 392719E</v>
      </c>
      <c r="H3550" s="2" t="str">
        <f>CLEAN("STH 013")</f>
        <v>STH 013</v>
      </c>
      <c r="I3550" s="2" t="str">
        <f>CLEAN("305")</f>
        <v>305</v>
      </c>
    </row>
    <row r="3551" spans="1:9" x14ac:dyDescent="0.35">
      <c r="A3551" s="2" t="str">
        <f>CLEAN("SAWYER")</f>
        <v>SAWYER</v>
      </c>
      <c r="B3551" s="2" t="str">
        <f t="shared" si="520"/>
        <v>WISCONSIN CENTRAL LTD</v>
      </c>
      <c r="C3551" s="2" t="s">
        <v>2559</v>
      </c>
      <c r="D3551" s="2" t="str">
        <f>CLEAN("3710-50-50")</f>
        <v>3710-50-50</v>
      </c>
      <c r="E3551" s="3" t="str">
        <f>CLEAN("BIRCHWOOD - EXELAND")</f>
        <v>BIRCHWOOD - EXELAND</v>
      </c>
      <c r="F3551" s="3" t="str">
        <f>CLEAN("CANADIAN NATIONAL RR X-ING 697338L")</f>
        <v>CANADIAN NATIONAL RR X-ING 697338L</v>
      </c>
      <c r="G3551" s="3" t="str">
        <f>CLEAN("ITS/RR WARNING DEVICE")</f>
        <v>ITS/RR WARNING DEVICE</v>
      </c>
      <c r="H3551" s="2" t="str">
        <f>CLEAN("STH 048")</f>
        <v>STH 048</v>
      </c>
      <c r="I3551" s="2" t="str">
        <f>CLEAN("305")</f>
        <v>305</v>
      </c>
    </row>
    <row r="3552" spans="1:9" x14ac:dyDescent="0.35">
      <c r="A3552" s="2" t="str">
        <f>CLEAN("CALUMET")</f>
        <v>CALUMET</v>
      </c>
      <c r="B3552" s="2" t="str">
        <f t="shared" si="520"/>
        <v>WISCONSIN CENTRAL LTD</v>
      </c>
      <c r="C3552" s="2" t="s">
        <v>3295</v>
      </c>
      <c r="D3552" s="2" t="str">
        <f>CLEAN("4482-00-50")</f>
        <v>4482-00-50</v>
      </c>
      <c r="E3552" s="3" t="str">
        <f>CLEAN("CALUMET CO  CTH B")</f>
        <v>CALUMET CO  CTH B</v>
      </c>
      <c r="F3552" s="3" t="str">
        <f>CLEAN("CN RR XING SURFACE 386698A")</f>
        <v>CN RR XING SURFACE 386698A</v>
      </c>
      <c r="G3552" s="3" t="str">
        <f>CLEAN("RR/MISC")</f>
        <v>RR/MISC</v>
      </c>
      <c r="H3552" s="2" t="str">
        <f>CLEAN("CTH B")</f>
        <v>CTH B</v>
      </c>
      <c r="I3552" s="2" t="str">
        <f>CLEAN("206")</f>
        <v>206</v>
      </c>
    </row>
    <row r="3553" spans="1:9" x14ac:dyDescent="0.35">
      <c r="A3553" s="2" t="str">
        <f>CLEAN("CALUMET")</f>
        <v>CALUMET</v>
      </c>
      <c r="B3553" s="2" t="str">
        <f t="shared" si="520"/>
        <v>WISCONSIN CENTRAL LTD</v>
      </c>
      <c r="C3553" s="2" t="s">
        <v>22</v>
      </c>
      <c r="D3553" s="2" t="str">
        <f>CLEAN("4580-10-50")</f>
        <v>4580-10-50</v>
      </c>
      <c r="E3553" s="3" t="str">
        <f>CLEAN("MENASHA-HILBERT")</f>
        <v>MENASHA-HILBERT</v>
      </c>
      <c r="F3553" s="3" t="str">
        <f>CLEAN("CN RR XING SURFACE 386693R MP 10.72")</f>
        <v>CN RR XING SURFACE 386693R MP 10.72</v>
      </c>
      <c r="G3553" s="3" t="str">
        <f>CLEAN("CN RR XING")</f>
        <v>CN RR XING</v>
      </c>
      <c r="H3553" s="2" t="str">
        <f>CLEAN("STH 114")</f>
        <v>STH 114</v>
      </c>
      <c r="I3553" s="2" t="str">
        <f>CLEAN("303")</f>
        <v>303</v>
      </c>
    </row>
    <row r="3554" spans="1:9" x14ac:dyDescent="0.35">
      <c r="A3554" s="2" t="str">
        <f>CLEAN("FOND DU LAC")</f>
        <v>FOND DU LAC</v>
      </c>
      <c r="B3554" s="2" t="str">
        <f t="shared" si="520"/>
        <v>WISCONSIN CENTRAL LTD</v>
      </c>
      <c r="C3554" s="2" t="s">
        <v>3271</v>
      </c>
      <c r="D3554" s="2" t="str">
        <f>CLEAN("4986-12-50")</f>
        <v>4986-12-50</v>
      </c>
      <c r="E3554" s="3" t="str">
        <f>CLEAN("C FOND DU LAC  WEST DIVISION STREET")</f>
        <v>C FOND DU LAC  WEST DIVISION STREET</v>
      </c>
      <c r="F3554" s="3" t="str">
        <f>CLEAN("WCL CROSSING 690112B")</f>
        <v>WCL CROSSING 690112B</v>
      </c>
      <c r="G3554" s="3" t="str">
        <f>CLEAN("RR OPS/SAFETY/OCS/SIGNALS &amp; GATES")</f>
        <v>RR OPS/SAFETY/OCS/SIGNALS &amp; GATES</v>
      </c>
      <c r="H3554" s="2" t="str">
        <f>CLEAN("CTH KW")</f>
        <v>CTH KW</v>
      </c>
      <c r="I3554" s="2" t="str">
        <f>CLEAN("207")</f>
        <v>207</v>
      </c>
    </row>
    <row r="3555" spans="1:9" x14ac:dyDescent="0.35">
      <c r="A3555" s="2" t="str">
        <f>CLEAN("WOOD")</f>
        <v>WOOD</v>
      </c>
      <c r="B3555" s="2" t="str">
        <f t="shared" si="520"/>
        <v>WISCONSIN CENTRAL LTD</v>
      </c>
      <c r="C3555" s="2" t="s">
        <v>3125</v>
      </c>
      <c r="D3555" s="2" t="str">
        <f>CLEAN("6320-00-55")</f>
        <v>6320-00-55</v>
      </c>
      <c r="E3555" s="3" t="str">
        <f>CLEAN("PLAINFIELD - WISCONSIN RAPIDS")</f>
        <v>PLAINFIELD - WISCONSIN RAPIDS</v>
      </c>
      <c r="F3555" s="3" t="str">
        <f>CLEAN("STH 173 TO STH 54")</f>
        <v>STH 173 TO STH 54</v>
      </c>
      <c r="G3555" s="3" t="str">
        <f>CLEAN("RAIL/CROSSING SURFACE 392709Y")</f>
        <v>RAIL/CROSSING SURFACE 392709Y</v>
      </c>
      <c r="H3555" s="2" t="str">
        <f>CLEAN("STH 073")</f>
        <v>STH 073</v>
      </c>
      <c r="I3555" s="2" t="str">
        <f>CLEAN("303")</f>
        <v>303</v>
      </c>
    </row>
    <row r="3556" spans="1:9" x14ac:dyDescent="0.35">
      <c r="A3556" s="2" t="str">
        <f>CLEAN("WOOD")</f>
        <v>WOOD</v>
      </c>
      <c r="B3556" s="2" t="str">
        <f t="shared" si="520"/>
        <v>WISCONSIN CENTRAL LTD</v>
      </c>
      <c r="C3556" s="2" t="s">
        <v>3123</v>
      </c>
      <c r="D3556" s="2" t="str">
        <f>CLEAN("6933-00-58")</f>
        <v>6933-00-58</v>
      </c>
      <c r="E3556" s="3" t="str">
        <f>CLEAN("BABCOCK - NEKOOSA")</f>
        <v>BABCOCK - NEKOOSA</v>
      </c>
      <c r="F3556" s="3" t="str">
        <f>CLEAN("HAZELNUT TRAIL CROSSING 392692X")</f>
        <v>HAZELNUT TRAIL CROSSING 392692X</v>
      </c>
      <c r="G3556" s="3" t="str">
        <f>CLEAN("RAIL CROSSING SURFACE")</f>
        <v>RAIL CROSSING SURFACE</v>
      </c>
      <c r="H3556" s="2" t="str">
        <f>CLEAN("STH 173")</f>
        <v>STH 173</v>
      </c>
      <c r="I3556" s="2" t="str">
        <f>CLEAN("303")</f>
        <v>303</v>
      </c>
    </row>
    <row r="3557" spans="1:9" x14ac:dyDescent="0.35">
      <c r="A3557" s="2" t="str">
        <f>CLEAN("MARATHON")</f>
        <v>MARATHON</v>
      </c>
      <c r="B3557" s="2" t="str">
        <f t="shared" si="520"/>
        <v>WISCONSIN CENTRAL LTD</v>
      </c>
      <c r="C3557" s="2" t="s">
        <v>3431</v>
      </c>
      <c r="D3557" s="2" t="str">
        <f>CLEAN("7040-05-50")</f>
        <v>7040-05-50</v>
      </c>
      <c r="E3557" s="3" t="str">
        <f>CLEAN("VILLAGE OF SPENCER  STH 98 WEST")</f>
        <v>VILLAGE OF SPENCER  STH 98 WEST</v>
      </c>
      <c r="F3557" s="3" t="str">
        <f>CLEAN("RAIL-HWY CROSSING REPAIR")</f>
        <v>RAIL-HWY CROSSING REPAIR</v>
      </c>
      <c r="G3557" s="3" t="str">
        <f>CLEAN("XING REPAIR 689933J MILE POST 289.8")</f>
        <v>XING REPAIR 689933J MILE POST 289.8</v>
      </c>
      <c r="H3557" s="2" t="str">
        <f>CLEAN("STH 098")</f>
        <v>STH 098</v>
      </c>
      <c r="I3557" s="2" t="str">
        <f>CLEAN("207")</f>
        <v>207</v>
      </c>
    </row>
    <row r="3558" spans="1:9" x14ac:dyDescent="0.35">
      <c r="A3558" s="2" t="str">
        <f>CLEAN("TREMPEALEAU")</f>
        <v>TREMPEALEAU</v>
      </c>
      <c r="B3558" s="2" t="str">
        <f t="shared" si="520"/>
        <v>WISCONSIN CENTRAL LTD</v>
      </c>
      <c r="C3558" s="2" t="s">
        <v>3245</v>
      </c>
      <c r="D3558" s="2" t="str">
        <f>CLEAN("7560-01-50")</f>
        <v>7560-01-50</v>
      </c>
      <c r="E3558" s="3" t="str">
        <f>CLEAN("BLAIR - MERRILLAN")</f>
        <v>BLAIR - MERRILLAN</v>
      </c>
      <c r="F3558" s="3" t="str">
        <f>CLEAN("WI CENTRAL LTD RR XING 281772J")</f>
        <v>WI CENTRAL LTD RR XING 281772J</v>
      </c>
      <c r="G3558" s="3" t="str">
        <f>CLEAN("RR OPS/RAIL-HIGHWAY CROSSING REPAIR")</f>
        <v>RR OPS/RAIL-HIGHWAY CROSSING REPAIR</v>
      </c>
      <c r="H3558" s="2" t="str">
        <f>CLEAN("STH 095")</f>
        <v>STH 095</v>
      </c>
      <c r="I3558" s="2" t="str">
        <f>CLEAN("207")</f>
        <v>207</v>
      </c>
    </row>
    <row r="3559" spans="1:9" x14ac:dyDescent="0.35">
      <c r="A3559" s="2" t="str">
        <f>CLEAN("TREMPEALEAU")</f>
        <v>TREMPEALEAU</v>
      </c>
      <c r="B3559" s="2" t="str">
        <f t="shared" si="520"/>
        <v>WISCONSIN CENTRAL LTD</v>
      </c>
      <c r="C3559" s="2" t="s">
        <v>3274</v>
      </c>
      <c r="D3559" s="2" t="str">
        <f>CLEAN("7720-00-51")</f>
        <v>7720-00-51</v>
      </c>
      <c r="E3559" s="3" t="str">
        <f>CLEAN("C ARCADIA  MAIN STREET")</f>
        <v>C ARCADIA  MAIN STREET</v>
      </c>
      <c r="F3559" s="3" t="str">
        <f>CLEAN("WCL RR XING 281828B")</f>
        <v>WCL RR XING 281828B</v>
      </c>
      <c r="G3559" s="3" t="str">
        <f>CLEAN("RR OPS/SURFACE")</f>
        <v>RR OPS/SURFACE</v>
      </c>
      <c r="H3559" s="2" t="str">
        <f>CLEAN("STH 095")</f>
        <v>STH 095</v>
      </c>
      <c r="I3559" s="2" t="str">
        <f>CLEAN("303")</f>
        <v>303</v>
      </c>
    </row>
    <row r="3560" spans="1:9" x14ac:dyDescent="0.35">
      <c r="A3560" s="2" t="str">
        <f>CLEAN("RUSK")</f>
        <v>RUSK</v>
      </c>
      <c r="B3560" s="2" t="str">
        <f t="shared" si="520"/>
        <v>WISCONSIN CENTRAL LTD</v>
      </c>
      <c r="C3560" s="2" t="s">
        <v>3275</v>
      </c>
      <c r="D3560" s="2" t="str">
        <f>CLEAN("8180-00-52")</f>
        <v>8180-00-52</v>
      </c>
      <c r="E3560" s="3" t="str">
        <f>CLEAN("CORNELL - LADYSMITH")</f>
        <v>CORNELL - LADYSMITH</v>
      </c>
      <c r="F3560" s="3" t="str">
        <f>CLEAN("WCL RR XING 691260Y")</f>
        <v>WCL RR XING 691260Y</v>
      </c>
      <c r="G3560" s="3" t="str">
        <f>CLEAN("RR OPS/SURFACE/8180-00-81")</f>
        <v>RR OPS/SURFACE/8180-00-81</v>
      </c>
      <c r="H3560" s="2" t="str">
        <f>CLEAN("STH 027")</f>
        <v>STH 027</v>
      </c>
      <c r="I3560" s="2" t="str">
        <f>CLEAN("303")</f>
        <v>303</v>
      </c>
    </row>
    <row r="3561" spans="1:9" x14ac:dyDescent="0.35">
      <c r="A3561" s="2" t="str">
        <f>CLEAN("RUSK")</f>
        <v>RUSK</v>
      </c>
      <c r="B3561" s="2" t="str">
        <f t="shared" si="520"/>
        <v>WISCONSIN CENTRAL LTD</v>
      </c>
      <c r="C3561" s="2" t="s">
        <v>3118</v>
      </c>
      <c r="D3561" s="2" t="str">
        <f>CLEAN("8428-00-50")</f>
        <v>8428-00-50</v>
      </c>
      <c r="E3561" s="3" t="str">
        <f>CLEAN("C LADYSMITH  COLLEGE AVE")</f>
        <v>C LADYSMITH  COLLEGE AVE</v>
      </c>
      <c r="F3561" s="3" t="str">
        <f>CLEAN("WISCONSIN CENTRAL LTD XING 697309B")</f>
        <v>WISCONSIN CENTRAL LTD XING 697309B</v>
      </c>
      <c r="G3561" s="3" t="str">
        <f>CLEAN("R/R OPS/SAFETY RAIL WARNING DEVICES")</f>
        <v>R/R OPS/SAFETY RAIL WARNING DEVICES</v>
      </c>
      <c r="H3561" s="2" t="str">
        <f>CLEAN("LOC STR")</f>
        <v>LOC STR</v>
      </c>
      <c r="I3561" s="2" t="str">
        <f>CLEAN("207")</f>
        <v>207</v>
      </c>
    </row>
    <row r="3562" spans="1:9" x14ac:dyDescent="0.35">
      <c r="A3562" s="2" t="str">
        <f>CLEAN("SAWYER")</f>
        <v>SAWYER</v>
      </c>
      <c r="B3562" s="2" t="str">
        <f t="shared" si="520"/>
        <v>WISCONSIN CENTRAL LTD</v>
      </c>
      <c r="C3562" s="2" t="s">
        <v>3120</v>
      </c>
      <c r="D3562" s="2" t="str">
        <f>CLEAN("8460-00-50")</f>
        <v>8460-00-50</v>
      </c>
      <c r="E3562" s="3" t="str">
        <f>CLEAN("T WEIRGOR  APPLEBEE ROAD")</f>
        <v>T WEIRGOR  APPLEBEE ROAD</v>
      </c>
      <c r="F3562" s="3" t="str">
        <f>CLEAN("WISCONSIN CENTRAL LTD XING 697339T")</f>
        <v>WISCONSIN CENTRAL LTD XING 697339T</v>
      </c>
      <c r="G3562" s="3" t="str">
        <f>CLEAN("R/R OPS/SAFETY RAIL WARNING DEVICES")</f>
        <v>R/R OPS/SAFETY RAIL WARNING DEVICES</v>
      </c>
      <c r="H3562" s="2" t="str">
        <f>CLEAN("LOC STR")</f>
        <v>LOC STR</v>
      </c>
      <c r="I3562" s="2" t="str">
        <f>CLEAN("207")</f>
        <v>207</v>
      </c>
    </row>
    <row r="3563" spans="1:9" x14ac:dyDescent="0.35">
      <c r="A3563" s="2" t="str">
        <f>CLEAN("SAWYER")</f>
        <v>SAWYER</v>
      </c>
      <c r="B3563" s="2" t="str">
        <f t="shared" si="520"/>
        <v>WISCONSIN CENTRAL LTD</v>
      </c>
      <c r="C3563" s="2" t="s">
        <v>3119</v>
      </c>
      <c r="D3563" s="2" t="str">
        <f>CLEAN("8570-00-50")</f>
        <v>8570-00-50</v>
      </c>
      <c r="E3563" s="3" t="str">
        <f>CLEAN("BIRCHWOOD - EXELAND")</f>
        <v>BIRCHWOOD - EXELAND</v>
      </c>
      <c r="F3563" s="3" t="str">
        <f>CLEAN("WISCONSIN CENTRAL LTD XING 697338L")</f>
        <v>WISCONSIN CENTRAL LTD XING 697338L</v>
      </c>
      <c r="G3563" s="3" t="str">
        <f>CLEAN("R/R OPS/SAFETY RAIL WARNING DEVICES")</f>
        <v>R/R OPS/SAFETY RAIL WARNING DEVICES</v>
      </c>
      <c r="H3563" s="2" t="str">
        <f>CLEAN("STH 048")</f>
        <v>STH 048</v>
      </c>
      <c r="I3563" s="2" t="str">
        <f>CLEAN("303")</f>
        <v>303</v>
      </c>
    </row>
    <row r="3564" spans="1:9" x14ac:dyDescent="0.35">
      <c r="A3564" s="2" t="str">
        <f>CLEAN("DUNN")</f>
        <v>DUNN</v>
      </c>
      <c r="B3564" s="2" t="str">
        <f t="shared" si="520"/>
        <v>WISCONSIN CENTRAL LTD</v>
      </c>
      <c r="C3564" s="2" t="s">
        <v>3094</v>
      </c>
      <c r="D3564" s="2" t="str">
        <f>CLEAN("8620-00-55")</f>
        <v>8620-00-55</v>
      </c>
      <c r="E3564" s="3" t="str">
        <f>CLEAN("ELK MOUND - BLOOMER")</f>
        <v>ELK MOUND - BLOOMER</v>
      </c>
      <c r="F3564" s="3" t="str">
        <f>CLEAN("WCL RR XING 692959P")</f>
        <v>WCL RR XING 692959P</v>
      </c>
      <c r="G3564" s="3" t="str">
        <f>CLEAN("R/R OPS - R/R XING SURFACE")</f>
        <v>R/R OPS - R/R XING SURFACE</v>
      </c>
      <c r="H3564" s="2" t="str">
        <f>CLEAN("STH 040")</f>
        <v>STH 040</v>
      </c>
      <c r="I3564" s="2" t="str">
        <f>CLEAN("303")</f>
        <v>303</v>
      </c>
    </row>
    <row r="3565" spans="1:9" x14ac:dyDescent="0.35">
      <c r="A3565" s="2" t="str">
        <f t="shared" ref="A3565:A3574" si="522">CLEAN("WOOD")</f>
        <v>WOOD</v>
      </c>
      <c r="B3565" s="2" t="str">
        <f t="shared" ref="B3565:B3574" si="523">CLEAN("WOOD COUNTY")</f>
        <v>WOOD COUNTY</v>
      </c>
      <c r="C3565" s="2" t="s">
        <v>1707</v>
      </c>
      <c r="D3565" s="2" t="str">
        <f>CLEAN("6934-06-03")</f>
        <v>6934-06-03</v>
      </c>
      <c r="E3565" s="3" t="str">
        <f>CLEAN("V BIRON  CTH U")</f>
        <v>V BIRON  CTH U</v>
      </c>
      <c r="F3565" s="3" t="str">
        <f>CLEAN("BIRON DRIVE SOUTH TO HUFFMAN ROAD")</f>
        <v>BIRON DRIVE SOUTH TO HUFFMAN ROAD</v>
      </c>
      <c r="G3565" s="3" t="str">
        <f>CLEAN("DESIGN OVERSITE/RECONSTRUCT")</f>
        <v>DESIGN OVERSITE/RECONSTRUCT</v>
      </c>
      <c r="H3565" s="2" t="str">
        <f>CLEAN("CTH U")</f>
        <v>CTH U</v>
      </c>
      <c r="I3565" s="2" t="str">
        <f>CLEAN("206")</f>
        <v>206</v>
      </c>
    </row>
    <row r="3566" spans="1:9" x14ac:dyDescent="0.35">
      <c r="A3566" s="2" t="str">
        <f t="shared" si="522"/>
        <v>WOOD</v>
      </c>
      <c r="B3566" s="2" t="str">
        <f t="shared" si="523"/>
        <v>WOOD COUNTY</v>
      </c>
      <c r="C3566" s="2" t="s">
        <v>1716</v>
      </c>
      <c r="D3566" s="2" t="str">
        <f>CLEAN("6942-01-02")</f>
        <v>6942-01-02</v>
      </c>
      <c r="E3566" s="3" t="str">
        <f>CLEAN("WISCONSIN RAPIDS - VESPER")</f>
        <v>WISCONSIN RAPIDS - VESPER</v>
      </c>
      <c r="F3566" s="3" t="str">
        <f>CLEAN("TOWN HALL ROAD TO CTH HH")</f>
        <v>TOWN HALL ROAD TO CTH HH</v>
      </c>
      <c r="G3566" s="3" t="str">
        <f>CLEAN("DESIGN OVERSITE/RECONSTRUCT")</f>
        <v>DESIGN OVERSITE/RECONSTRUCT</v>
      </c>
      <c r="H3566" s="2" t="str">
        <f>CLEAN("CTH F")</f>
        <v>CTH F</v>
      </c>
      <c r="I3566" s="2" t="str">
        <f>CLEAN("206")</f>
        <v>206</v>
      </c>
    </row>
    <row r="3567" spans="1:9" x14ac:dyDescent="0.35">
      <c r="A3567" s="2" t="str">
        <f t="shared" si="522"/>
        <v>WOOD</v>
      </c>
      <c r="B3567" s="2" t="str">
        <f t="shared" si="523"/>
        <v>WOOD COUNTY</v>
      </c>
      <c r="C3567" s="2" t="s">
        <v>2036</v>
      </c>
      <c r="D3567" s="2" t="str">
        <f>CLEAN("1009-44-71")</f>
        <v>1009-44-71</v>
      </c>
      <c r="E3567" s="3" t="str">
        <f>CLEAN("BICYCLE AND PEDESTRIAN PLAN")</f>
        <v>BICYCLE AND PEDESTRIAN PLAN</v>
      </c>
      <c r="F3567" s="3" t="str">
        <f>CLEAN("WOOD COUNTY")</f>
        <v>WOOD COUNTY</v>
      </c>
      <c r="G3567" s="3" t="str">
        <f>CLEAN("DESIGN/MISC")</f>
        <v>DESIGN/MISC</v>
      </c>
      <c r="H3567" s="2" t="str">
        <f>CLEAN("NON HWY")</f>
        <v>NON HWY</v>
      </c>
      <c r="I3567" s="2" t="str">
        <f>CLEAN("290")</f>
        <v>290</v>
      </c>
    </row>
    <row r="3568" spans="1:9" x14ac:dyDescent="0.35">
      <c r="A3568" s="2" t="str">
        <f t="shared" si="522"/>
        <v>WOOD</v>
      </c>
      <c r="B3568" s="2" t="str">
        <f t="shared" si="523"/>
        <v>WOOD COUNTY</v>
      </c>
      <c r="C3568" s="2" t="s">
        <v>1719</v>
      </c>
      <c r="D3568" s="2" t="str">
        <f>CLEAN("6925-01-00")</f>
        <v>6925-01-00</v>
      </c>
      <c r="E3568" s="3" t="str">
        <f>CLEAN("STH 186 - CTH K")</f>
        <v>STH 186 - CTH K</v>
      </c>
      <c r="F3568" s="3" t="str">
        <f>CLEAN("BRANCH HEMLOCK CREEK  B-71-0768")</f>
        <v>BRANCH HEMLOCK CREEK  B-71-0768</v>
      </c>
      <c r="G3568" s="3" t="str">
        <f>CLEAN("DESIGN OVERSITE/REPLACEMENT")</f>
        <v>DESIGN OVERSITE/REPLACEMENT</v>
      </c>
      <c r="H3568" s="2" t="str">
        <f>CLEAN("CTH N")</f>
        <v>CTH N</v>
      </c>
      <c r="I3568" s="2" t="str">
        <f>CLEAN("205")</f>
        <v>205</v>
      </c>
    </row>
    <row r="3569" spans="1:9" x14ac:dyDescent="0.35">
      <c r="A3569" s="2" t="str">
        <f t="shared" si="522"/>
        <v>WOOD</v>
      </c>
      <c r="B3569" s="2" t="str">
        <f t="shared" si="523"/>
        <v>WOOD COUNTY</v>
      </c>
      <c r="C3569" s="2" t="s">
        <v>887</v>
      </c>
      <c r="D3569" s="2" t="str">
        <f>CLEAN("6925-01-70")</f>
        <v>6925-01-70</v>
      </c>
      <c r="E3569" s="3" t="str">
        <f>CLEAN("STH 186 - CTH K")</f>
        <v>STH 186 - CTH K</v>
      </c>
      <c r="F3569" s="3" t="str">
        <f>CLEAN("BRANCH HEMLOCK CREEK  B-71-0207")</f>
        <v>BRANCH HEMLOCK CREEK  B-71-0207</v>
      </c>
      <c r="G3569" s="3" t="str">
        <f>CLEAN("CONST/REPLACEMENT")</f>
        <v>CONST/REPLACEMENT</v>
      </c>
      <c r="H3569" s="2" t="str">
        <f>CLEAN("CTH N")</f>
        <v>CTH N</v>
      </c>
      <c r="I3569" s="2" t="str">
        <f>CLEAN("205")</f>
        <v>205</v>
      </c>
    </row>
    <row r="3570" spans="1:9" x14ac:dyDescent="0.35">
      <c r="A3570" s="2" t="str">
        <f t="shared" si="522"/>
        <v>WOOD</v>
      </c>
      <c r="B3570" s="2" t="str">
        <f t="shared" si="523"/>
        <v>WOOD COUNTY</v>
      </c>
      <c r="C3570" s="2" t="s">
        <v>760</v>
      </c>
      <c r="D3570" s="2" t="str">
        <f>CLEAN("6934-06-73")</f>
        <v>6934-06-73</v>
      </c>
      <c r="E3570" s="3" t="str">
        <f>CLEAN("V BIRON  CTH U")</f>
        <v>V BIRON  CTH U</v>
      </c>
      <c r="F3570" s="3" t="str">
        <f>CLEAN("BIRON DRIVE SOUTH TO HUFFMAN ROAD")</f>
        <v>BIRON DRIVE SOUTH TO HUFFMAN ROAD</v>
      </c>
      <c r="G3570" s="3" t="str">
        <f>CLEAN("CONST/RECONSTRUCT")</f>
        <v>CONST/RECONSTRUCT</v>
      </c>
      <c r="H3570" s="2" t="str">
        <f>CLEAN("CTH U")</f>
        <v>CTH U</v>
      </c>
      <c r="I3570" s="2" t="str">
        <f>CLEAN("206")</f>
        <v>206</v>
      </c>
    </row>
    <row r="3571" spans="1:9" x14ac:dyDescent="0.35">
      <c r="A3571" s="2" t="str">
        <f t="shared" si="522"/>
        <v>WOOD</v>
      </c>
      <c r="B3571" s="2" t="str">
        <f t="shared" si="523"/>
        <v>WOOD COUNTY</v>
      </c>
      <c r="C3571" s="2" t="s">
        <v>1693</v>
      </c>
      <c r="D3571" s="2" t="str">
        <f>CLEAN("6936-02-00")</f>
        <v>6936-02-00</v>
      </c>
      <c r="E3571" s="3" t="str">
        <f>CLEAN("STH 73 - PORTAGE CO LINE")</f>
        <v>STH 73 - PORTAGE CO LINE</v>
      </c>
      <c r="F3571" s="3" t="str">
        <f>CLEAN("BUENA VISTA CREEK BRIDGE  P-71-0922")</f>
        <v>BUENA VISTA CREEK BRIDGE  P-71-0922</v>
      </c>
      <c r="G3571" s="3" t="str">
        <f>CLEAN("DESIGN OVERSITE")</f>
        <v>DESIGN OVERSITE</v>
      </c>
      <c r="H3571" s="2" t="str">
        <f>CLEAN("CTH Z")</f>
        <v>CTH Z</v>
      </c>
      <c r="I3571" s="2" t="str">
        <f>CLEAN("205")</f>
        <v>205</v>
      </c>
    </row>
    <row r="3572" spans="1:9" x14ac:dyDescent="0.35">
      <c r="A3572" s="2" t="str">
        <f t="shared" si="522"/>
        <v>WOOD</v>
      </c>
      <c r="B3572" s="2" t="str">
        <f t="shared" si="523"/>
        <v>WOOD COUNTY</v>
      </c>
      <c r="C3572" s="2" t="s">
        <v>781</v>
      </c>
      <c r="D3572" s="2" t="str">
        <f>CLEAN("6942-01-72")</f>
        <v>6942-01-72</v>
      </c>
      <c r="E3572" s="3" t="str">
        <f>CLEAN("WISCONSIN RAPIDS - VESPER")</f>
        <v>WISCONSIN RAPIDS - VESPER</v>
      </c>
      <c r="F3572" s="3" t="str">
        <f>CLEAN("TOWN HALL ROAD TO CTH HH")</f>
        <v>TOWN HALL ROAD TO CTH HH</v>
      </c>
      <c r="G3572" s="3" t="str">
        <f>CLEAN("CONST/RECONSTRUCT")</f>
        <v>CONST/RECONSTRUCT</v>
      </c>
      <c r="H3572" s="2" t="str">
        <f>CLEAN("CTH F")</f>
        <v>CTH F</v>
      </c>
      <c r="I3572" s="2" t="str">
        <f>CLEAN("206")</f>
        <v>206</v>
      </c>
    </row>
    <row r="3573" spans="1:9" x14ac:dyDescent="0.35">
      <c r="A3573" s="2" t="str">
        <f t="shared" si="522"/>
        <v>WOOD</v>
      </c>
      <c r="B3573" s="2" t="str">
        <f t="shared" si="523"/>
        <v>WOOD COUNTY</v>
      </c>
      <c r="C3573" s="2" t="s">
        <v>1964</v>
      </c>
      <c r="D3573" s="2" t="str">
        <f>CLEAN("6945-00-01")</f>
        <v>6945-00-01</v>
      </c>
      <c r="E3573" s="3" t="str">
        <f>CLEAN("VESPER - CTH N")</f>
        <v>VESPER - CTH N</v>
      </c>
      <c r="F3573" s="3" t="str">
        <f>CLEAN("E FORK HEMLOCK CREEK  P-71-0071")</f>
        <v>E FORK HEMLOCK CREEK  P-71-0071</v>
      </c>
      <c r="G3573" s="3" t="str">
        <f>CLEAN("DESIGN/FULL PSE/REPLACEMENT")</f>
        <v>DESIGN/FULL PSE/REPLACEMENT</v>
      </c>
      <c r="H3573" s="2" t="str">
        <f>CLEAN("CTH HH")</f>
        <v>CTH HH</v>
      </c>
      <c r="I3573" s="2" t="str">
        <f>CLEAN("205")</f>
        <v>205</v>
      </c>
    </row>
    <row r="3574" spans="1:9" x14ac:dyDescent="0.35">
      <c r="A3574" s="2" t="str">
        <f t="shared" si="522"/>
        <v>WOOD</v>
      </c>
      <c r="B3574" s="2" t="str">
        <f t="shared" si="523"/>
        <v>WOOD COUNTY</v>
      </c>
      <c r="C3574" s="2" t="s">
        <v>1958</v>
      </c>
      <c r="D3574" s="2" t="str">
        <f>CLEAN("6967-00-08")</f>
        <v>6967-00-08</v>
      </c>
      <c r="E3574" s="3" t="str">
        <f>CLEAN("T PORT EDWARDS  1ST STREET EAST")</f>
        <v>T PORT EDWARDS  1ST STREET EAST</v>
      </c>
      <c r="F3574" s="3" t="str">
        <f>CLEAN("BR CRANBERRY CREEK  P-71-0916")</f>
        <v>BR CRANBERRY CREEK  P-71-0916</v>
      </c>
      <c r="G3574" s="3" t="str">
        <f>CLEAN("DESIGN/FULL PSE/REPLACEMENT")</f>
        <v>DESIGN/FULL PSE/REPLACEMENT</v>
      </c>
      <c r="H3574" s="2" t="str">
        <f>CLEAN("LOC STR")</f>
        <v>LOC STR</v>
      </c>
      <c r="I3574" s="2" t="str">
        <f>CLEAN("205")</f>
        <v>205</v>
      </c>
    </row>
    <row r="3576" spans="1:9" x14ac:dyDescent="0.35">
      <c r="E3576"/>
      <c r="F3576"/>
      <c r="G3576"/>
    </row>
    <row r="3577" spans="1:9" x14ac:dyDescent="0.35">
      <c r="E3577"/>
      <c r="F3577"/>
      <c r="G3577"/>
    </row>
    <row r="3578" spans="1:9" x14ac:dyDescent="0.35">
      <c r="E3578"/>
      <c r="F3578"/>
      <c r="G3578"/>
    </row>
    <row r="3579" spans="1:9" x14ac:dyDescent="0.35">
      <c r="E3579"/>
      <c r="F3579"/>
      <c r="G3579"/>
    </row>
    <row r="3580" spans="1:9" x14ac:dyDescent="0.35">
      <c r="E3580"/>
      <c r="F3580"/>
      <c r="G3580"/>
    </row>
    <row r="3581" spans="1:9" x14ac:dyDescent="0.35">
      <c r="E3581"/>
      <c r="F3581"/>
      <c r="G3581"/>
    </row>
    <row r="3582" spans="1:9" x14ac:dyDescent="0.35">
      <c r="E3582"/>
      <c r="F3582"/>
      <c r="G3582"/>
    </row>
    <row r="3583" spans="1:9" x14ac:dyDescent="0.35">
      <c r="E3583"/>
      <c r="F3583"/>
      <c r="G3583"/>
    </row>
    <row r="3584" spans="1:9" x14ac:dyDescent="0.35">
      <c r="E3584"/>
      <c r="F3584"/>
      <c r="G3584"/>
    </row>
    <row r="3585" customFormat="1" x14ac:dyDescent="0.35"/>
    <row r="3586" customFormat="1" x14ac:dyDescent="0.35"/>
    <row r="3587" customFormat="1" x14ac:dyDescent="0.35"/>
    <row r="3588" customFormat="1" x14ac:dyDescent="0.35"/>
    <row r="3589" customFormat="1" x14ac:dyDescent="0.35"/>
    <row r="3590" customFormat="1" x14ac:dyDescent="0.35"/>
    <row r="3591" customFormat="1" x14ac:dyDescent="0.35"/>
    <row r="3592" customFormat="1" x14ac:dyDescent="0.35"/>
    <row r="3593" customFormat="1" x14ac:dyDescent="0.35"/>
    <row r="3594" customFormat="1" x14ac:dyDescent="0.35"/>
    <row r="3595" customFormat="1" x14ac:dyDescent="0.35"/>
    <row r="3596" customFormat="1" x14ac:dyDescent="0.35"/>
    <row r="3597" customFormat="1" x14ac:dyDescent="0.35"/>
    <row r="3598" customFormat="1" x14ac:dyDescent="0.35"/>
    <row r="3599" customFormat="1" x14ac:dyDescent="0.35"/>
    <row r="3600" customFormat="1" x14ac:dyDescent="0.35"/>
    <row r="3601" customFormat="1" x14ac:dyDescent="0.35"/>
    <row r="3602" customFormat="1" x14ac:dyDescent="0.35"/>
    <row r="3603" customFormat="1" x14ac:dyDescent="0.35"/>
    <row r="3604" customFormat="1" x14ac:dyDescent="0.35"/>
    <row r="3605" customFormat="1" x14ac:dyDescent="0.35"/>
    <row r="3606" customFormat="1" x14ac:dyDescent="0.35"/>
    <row r="3607" customFormat="1" x14ac:dyDescent="0.35"/>
    <row r="3608" customFormat="1" x14ac:dyDescent="0.35"/>
    <row r="3609" customFormat="1" x14ac:dyDescent="0.35"/>
    <row r="3610" customFormat="1" x14ac:dyDescent="0.35"/>
    <row r="3611" customFormat="1" x14ac:dyDescent="0.35"/>
    <row r="3612" customFormat="1" x14ac:dyDescent="0.35"/>
    <row r="3613" customFormat="1" x14ac:dyDescent="0.35"/>
    <row r="3614" customFormat="1" x14ac:dyDescent="0.35"/>
    <row r="3615" customFormat="1" x14ac:dyDescent="0.35"/>
    <row r="3616" customFormat="1" x14ac:dyDescent="0.35"/>
    <row r="3617" customFormat="1" x14ac:dyDescent="0.35"/>
    <row r="3618" customFormat="1" x14ac:dyDescent="0.35"/>
    <row r="3619" customFormat="1" x14ac:dyDescent="0.35"/>
    <row r="3620" customFormat="1" x14ac:dyDescent="0.35"/>
    <row r="3621" customFormat="1" x14ac:dyDescent="0.35"/>
    <row r="3622" customFormat="1" x14ac:dyDescent="0.35"/>
    <row r="3623" customFormat="1" x14ac:dyDescent="0.35"/>
    <row r="3624" customFormat="1" x14ac:dyDescent="0.35"/>
    <row r="3625" customFormat="1" x14ac:dyDescent="0.35"/>
    <row r="3626" customFormat="1" x14ac:dyDescent="0.35"/>
    <row r="3627" customFormat="1" x14ac:dyDescent="0.35"/>
    <row r="3628" customFormat="1" x14ac:dyDescent="0.35"/>
    <row r="3629" customFormat="1" x14ac:dyDescent="0.35"/>
    <row r="3630" customFormat="1" x14ac:dyDescent="0.35"/>
    <row r="3631" customFormat="1" x14ac:dyDescent="0.35"/>
    <row r="3632" customFormat="1" x14ac:dyDescent="0.35"/>
    <row r="3633" customFormat="1" x14ac:dyDescent="0.35"/>
    <row r="3634" customFormat="1" x14ac:dyDescent="0.35"/>
    <row r="3635" customFormat="1" x14ac:dyDescent="0.35"/>
    <row r="3636" customFormat="1" x14ac:dyDescent="0.35"/>
    <row r="3637" customFormat="1" x14ac:dyDescent="0.35"/>
    <row r="3638" customFormat="1" x14ac:dyDescent="0.35"/>
    <row r="3639" customFormat="1" x14ac:dyDescent="0.35"/>
    <row r="3640" customFormat="1" x14ac:dyDescent="0.35"/>
    <row r="3641" customFormat="1" x14ac:dyDescent="0.35"/>
    <row r="3642" customFormat="1" x14ac:dyDescent="0.35"/>
    <row r="3643" customFormat="1" x14ac:dyDescent="0.35"/>
    <row r="3644" customFormat="1" x14ac:dyDescent="0.35"/>
    <row r="3645" customFormat="1" x14ac:dyDescent="0.35"/>
    <row r="3646" customFormat="1" x14ac:dyDescent="0.35"/>
    <row r="3647" customFormat="1" x14ac:dyDescent="0.35"/>
    <row r="3648" customFormat="1" x14ac:dyDescent="0.35"/>
    <row r="3649" customFormat="1" x14ac:dyDescent="0.35"/>
    <row r="3650" customFormat="1" x14ac:dyDescent="0.35"/>
    <row r="3651" customFormat="1" x14ac:dyDescent="0.35"/>
    <row r="3652" customFormat="1" x14ac:dyDescent="0.35"/>
    <row r="3653" customFormat="1" x14ac:dyDescent="0.35"/>
    <row r="3654" customFormat="1" x14ac:dyDescent="0.35"/>
    <row r="3655" customFormat="1" x14ac:dyDescent="0.35"/>
    <row r="3656" customFormat="1" x14ac:dyDescent="0.35"/>
    <row r="3657" customFormat="1" x14ac:dyDescent="0.35"/>
    <row r="3658" customFormat="1" x14ac:dyDescent="0.35"/>
    <row r="3659" customFormat="1" x14ac:dyDescent="0.35"/>
    <row r="3660" customFormat="1" x14ac:dyDescent="0.35"/>
    <row r="3661" customFormat="1" x14ac:dyDescent="0.35"/>
    <row r="3662" customFormat="1" x14ac:dyDescent="0.35"/>
    <row r="3663" customFormat="1" x14ac:dyDescent="0.35"/>
    <row r="3664" customFormat="1" x14ac:dyDescent="0.35"/>
    <row r="3665" customFormat="1" x14ac:dyDescent="0.35"/>
    <row r="3666" customFormat="1" x14ac:dyDescent="0.35"/>
    <row r="3667" customFormat="1" x14ac:dyDescent="0.35"/>
    <row r="3668" customFormat="1" x14ac:dyDescent="0.35"/>
    <row r="3669" customFormat="1" x14ac:dyDescent="0.35"/>
    <row r="3670" customFormat="1" x14ac:dyDescent="0.35"/>
    <row r="3671" customFormat="1" x14ac:dyDescent="0.35"/>
    <row r="3672" customFormat="1" x14ac:dyDescent="0.35"/>
    <row r="3673" customFormat="1" x14ac:dyDescent="0.35"/>
    <row r="3674" customFormat="1" x14ac:dyDescent="0.35"/>
    <row r="3675" customFormat="1" x14ac:dyDescent="0.35"/>
    <row r="3676" customFormat="1" x14ac:dyDescent="0.35"/>
    <row r="3677" customFormat="1" x14ac:dyDescent="0.35"/>
    <row r="3678" customFormat="1" x14ac:dyDescent="0.35"/>
    <row r="3679" customFormat="1" x14ac:dyDescent="0.35"/>
    <row r="3680" customFormat="1" x14ac:dyDescent="0.35"/>
    <row r="3681" customFormat="1" x14ac:dyDescent="0.35"/>
    <row r="3682" customFormat="1" x14ac:dyDescent="0.35"/>
    <row r="3683" customFormat="1" x14ac:dyDescent="0.35"/>
    <row r="3684" customFormat="1" x14ac:dyDescent="0.35"/>
    <row r="3685" customFormat="1" x14ac:dyDescent="0.35"/>
    <row r="3686" customFormat="1" x14ac:dyDescent="0.35"/>
    <row r="3687" customFormat="1" x14ac:dyDescent="0.35"/>
    <row r="3688" customFormat="1" x14ac:dyDescent="0.35"/>
    <row r="3689" customFormat="1" x14ac:dyDescent="0.35"/>
    <row r="3690" customFormat="1" x14ac:dyDescent="0.35"/>
    <row r="3691" customFormat="1" x14ac:dyDescent="0.35"/>
    <row r="3692" customFormat="1" x14ac:dyDescent="0.35"/>
    <row r="3693" customFormat="1" x14ac:dyDescent="0.35"/>
    <row r="3694" customFormat="1" x14ac:dyDescent="0.35"/>
    <row r="3695" customFormat="1" x14ac:dyDescent="0.35"/>
    <row r="3696" customFormat="1" x14ac:dyDescent="0.35"/>
    <row r="3697" customFormat="1" x14ac:dyDescent="0.35"/>
    <row r="3698" customFormat="1" x14ac:dyDescent="0.35"/>
    <row r="3699" customFormat="1" x14ac:dyDescent="0.35"/>
    <row r="3700" customFormat="1" x14ac:dyDescent="0.35"/>
    <row r="3701" customFormat="1" x14ac:dyDescent="0.35"/>
    <row r="3702" customFormat="1" x14ac:dyDescent="0.35"/>
    <row r="3703" customFormat="1" x14ac:dyDescent="0.35"/>
    <row r="3704" customFormat="1" x14ac:dyDescent="0.35"/>
    <row r="3705" customFormat="1" x14ac:dyDescent="0.35"/>
    <row r="3706" customFormat="1" x14ac:dyDescent="0.35"/>
    <row r="3707" customFormat="1" x14ac:dyDescent="0.35"/>
    <row r="3708" customFormat="1" x14ac:dyDescent="0.35"/>
    <row r="3709" customFormat="1" x14ac:dyDescent="0.35"/>
    <row r="3710" customFormat="1" x14ac:dyDescent="0.35"/>
    <row r="3711" customFormat="1" x14ac:dyDescent="0.35"/>
    <row r="3712" customFormat="1" x14ac:dyDescent="0.35"/>
    <row r="3713" customFormat="1" x14ac:dyDescent="0.35"/>
    <row r="3714" customFormat="1" x14ac:dyDescent="0.35"/>
    <row r="3715" customFormat="1" x14ac:dyDescent="0.35"/>
    <row r="3716" customFormat="1" x14ac:dyDescent="0.35"/>
    <row r="3717" customFormat="1" x14ac:dyDescent="0.35"/>
    <row r="3718" customFormat="1" x14ac:dyDescent="0.35"/>
    <row r="3719" customFormat="1" x14ac:dyDescent="0.35"/>
    <row r="3720" customFormat="1" x14ac:dyDescent="0.35"/>
    <row r="3721" customFormat="1" x14ac:dyDescent="0.35"/>
    <row r="3722" customFormat="1" x14ac:dyDescent="0.35"/>
    <row r="3723" customFormat="1" x14ac:dyDescent="0.35"/>
    <row r="3724" customFormat="1" x14ac:dyDescent="0.35"/>
    <row r="3725" customFormat="1" x14ac:dyDescent="0.35"/>
    <row r="3726" customFormat="1" x14ac:dyDescent="0.35"/>
    <row r="3727" customFormat="1" x14ac:dyDescent="0.35"/>
    <row r="3728" customFormat="1" x14ac:dyDescent="0.35"/>
    <row r="3729" customFormat="1" x14ac:dyDescent="0.35"/>
    <row r="3730" customFormat="1" x14ac:dyDescent="0.35"/>
    <row r="3731" customFormat="1" x14ac:dyDescent="0.35"/>
    <row r="3732" customFormat="1" x14ac:dyDescent="0.35"/>
    <row r="3733" customFormat="1" x14ac:dyDescent="0.35"/>
    <row r="3734" customFormat="1" x14ac:dyDescent="0.35"/>
    <row r="3735" customFormat="1" x14ac:dyDescent="0.35"/>
    <row r="3736" customFormat="1" x14ac:dyDescent="0.35"/>
    <row r="3737" customFormat="1" x14ac:dyDescent="0.35"/>
    <row r="3738" customFormat="1" x14ac:dyDescent="0.35"/>
    <row r="3739" customFormat="1" x14ac:dyDescent="0.35"/>
    <row r="3740" customFormat="1" x14ac:dyDescent="0.35"/>
    <row r="3741" customFormat="1" x14ac:dyDescent="0.35"/>
    <row r="3742" customFormat="1" x14ac:dyDescent="0.35"/>
    <row r="3743" customFormat="1" x14ac:dyDescent="0.35"/>
    <row r="3744" customFormat="1" x14ac:dyDescent="0.35"/>
    <row r="3745" customFormat="1" x14ac:dyDescent="0.35"/>
    <row r="3746" customFormat="1" x14ac:dyDescent="0.35"/>
    <row r="3747" customFormat="1" x14ac:dyDescent="0.35"/>
    <row r="3748" customFormat="1" x14ac:dyDescent="0.35"/>
    <row r="3749" customFormat="1" x14ac:dyDescent="0.35"/>
    <row r="3750" customFormat="1" x14ac:dyDescent="0.35"/>
    <row r="3751" customFormat="1" x14ac:dyDescent="0.35"/>
    <row r="3752" customFormat="1" x14ac:dyDescent="0.35"/>
    <row r="3753" customFormat="1" x14ac:dyDescent="0.35"/>
    <row r="3754" customFormat="1" x14ac:dyDescent="0.35"/>
    <row r="3755" customFormat="1" x14ac:dyDescent="0.35"/>
    <row r="3756" customFormat="1" x14ac:dyDescent="0.35"/>
    <row r="3757" customFormat="1" x14ac:dyDescent="0.35"/>
    <row r="3758" customFormat="1" x14ac:dyDescent="0.35"/>
    <row r="3759" customFormat="1" x14ac:dyDescent="0.35"/>
    <row r="3760" customFormat="1" x14ac:dyDescent="0.35"/>
    <row r="3761" customFormat="1" x14ac:dyDescent="0.35"/>
    <row r="3762" customFormat="1" x14ac:dyDescent="0.35"/>
    <row r="3763" customFormat="1" x14ac:dyDescent="0.35"/>
    <row r="3764" customFormat="1" x14ac:dyDescent="0.35"/>
    <row r="3765" customFormat="1" x14ac:dyDescent="0.35"/>
    <row r="3766" customFormat="1" x14ac:dyDescent="0.35"/>
    <row r="3767" customFormat="1" x14ac:dyDescent="0.35"/>
    <row r="3768" customFormat="1" x14ac:dyDescent="0.35"/>
    <row r="3769" customFormat="1" x14ac:dyDescent="0.35"/>
    <row r="3770" customFormat="1" x14ac:dyDescent="0.35"/>
    <row r="3771" customFormat="1" x14ac:dyDescent="0.35"/>
    <row r="3772" customFormat="1" x14ac:dyDescent="0.35"/>
    <row r="3773" customFormat="1" x14ac:dyDescent="0.35"/>
    <row r="3774" customFormat="1" x14ac:dyDescent="0.35"/>
    <row r="3775" customFormat="1" x14ac:dyDescent="0.35"/>
    <row r="3776" customFormat="1" x14ac:dyDescent="0.35"/>
    <row r="3777" customFormat="1" x14ac:dyDescent="0.35"/>
    <row r="3778" customFormat="1" x14ac:dyDescent="0.35"/>
    <row r="3779" customFormat="1" x14ac:dyDescent="0.35"/>
    <row r="3780" customFormat="1" x14ac:dyDescent="0.35"/>
    <row r="3781" customFormat="1" x14ac:dyDescent="0.35"/>
    <row r="3782" customFormat="1" x14ac:dyDescent="0.35"/>
    <row r="3783" customFormat="1" x14ac:dyDescent="0.35"/>
    <row r="3784" customFormat="1" x14ac:dyDescent="0.35"/>
    <row r="3785" customFormat="1" x14ac:dyDescent="0.35"/>
    <row r="3786" customFormat="1" x14ac:dyDescent="0.35"/>
    <row r="3787" customFormat="1" x14ac:dyDescent="0.35"/>
    <row r="3788" customFormat="1" x14ac:dyDescent="0.35"/>
    <row r="3789" customFormat="1" x14ac:dyDescent="0.35"/>
    <row r="3790" customFormat="1" x14ac:dyDescent="0.35"/>
    <row r="3791" customFormat="1" x14ac:dyDescent="0.35"/>
    <row r="3792" customFormat="1" x14ac:dyDescent="0.35"/>
    <row r="3793" customFormat="1" x14ac:dyDescent="0.35"/>
    <row r="3794" customFormat="1" x14ac:dyDescent="0.35"/>
    <row r="3795" customFormat="1" x14ac:dyDescent="0.35"/>
    <row r="3796" customFormat="1" x14ac:dyDescent="0.35"/>
    <row r="3797" customFormat="1" x14ac:dyDescent="0.35"/>
    <row r="3798" customFormat="1" x14ac:dyDescent="0.35"/>
    <row r="3799" customFormat="1" x14ac:dyDescent="0.35"/>
    <row r="3800" customFormat="1" x14ac:dyDescent="0.35"/>
    <row r="3801" customFormat="1" x14ac:dyDescent="0.35"/>
    <row r="3802" customFormat="1" x14ac:dyDescent="0.35"/>
    <row r="3803" customFormat="1" x14ac:dyDescent="0.35"/>
    <row r="3804" customFormat="1" x14ac:dyDescent="0.35"/>
    <row r="3805" customFormat="1" x14ac:dyDescent="0.35"/>
    <row r="3806" customFormat="1" x14ac:dyDescent="0.35"/>
    <row r="3807" customFormat="1" x14ac:dyDescent="0.35"/>
    <row r="3808" customFormat="1" x14ac:dyDescent="0.35"/>
    <row r="3809" customFormat="1" x14ac:dyDescent="0.35"/>
    <row r="3810" customFormat="1" x14ac:dyDescent="0.35"/>
    <row r="3811" customFormat="1" x14ac:dyDescent="0.35"/>
    <row r="3812" customFormat="1" x14ac:dyDescent="0.35"/>
    <row r="3813" customFormat="1" x14ac:dyDescent="0.35"/>
    <row r="3814" customFormat="1" x14ac:dyDescent="0.35"/>
    <row r="3815" customFormat="1" x14ac:dyDescent="0.35"/>
    <row r="3816" customFormat="1" x14ac:dyDescent="0.35"/>
    <row r="3817" customFormat="1" x14ac:dyDescent="0.35"/>
    <row r="3818" customFormat="1" x14ac:dyDescent="0.35"/>
    <row r="3819" customFormat="1" x14ac:dyDescent="0.35"/>
    <row r="3820" customFormat="1" x14ac:dyDescent="0.35"/>
    <row r="3821" customFormat="1" x14ac:dyDescent="0.35"/>
    <row r="3822" customFormat="1" x14ac:dyDescent="0.35"/>
    <row r="3823" customFormat="1" x14ac:dyDescent="0.35"/>
    <row r="3824" customFormat="1" x14ac:dyDescent="0.35"/>
    <row r="3825" customFormat="1" x14ac:dyDescent="0.35"/>
    <row r="3826" customFormat="1" x14ac:dyDescent="0.35"/>
    <row r="3827" customFormat="1" x14ac:dyDescent="0.35"/>
    <row r="3828" customFormat="1" x14ac:dyDescent="0.35"/>
    <row r="3829" customFormat="1" x14ac:dyDescent="0.35"/>
    <row r="3830" customFormat="1" x14ac:dyDescent="0.35"/>
    <row r="3831" customFormat="1" x14ac:dyDescent="0.35"/>
    <row r="3832" customFormat="1" x14ac:dyDescent="0.35"/>
    <row r="3833" customFormat="1" x14ac:dyDescent="0.35"/>
    <row r="3834" customFormat="1" x14ac:dyDescent="0.35"/>
    <row r="3835" customFormat="1" x14ac:dyDescent="0.35"/>
    <row r="3836" customFormat="1" x14ac:dyDescent="0.35"/>
    <row r="3837" customFormat="1" x14ac:dyDescent="0.35"/>
    <row r="3838" customFormat="1" x14ac:dyDescent="0.35"/>
    <row r="3839" customFormat="1" x14ac:dyDescent="0.35"/>
    <row r="3840" customFormat="1" x14ac:dyDescent="0.35"/>
    <row r="3841" customFormat="1" x14ac:dyDescent="0.35"/>
    <row r="3842" customFormat="1" x14ac:dyDescent="0.35"/>
    <row r="3843" customFormat="1" x14ac:dyDescent="0.35"/>
    <row r="3844" customFormat="1" x14ac:dyDescent="0.35"/>
    <row r="3845" customFormat="1" x14ac:dyDescent="0.35"/>
    <row r="3846" customFormat="1" x14ac:dyDescent="0.35"/>
    <row r="3847" customFormat="1" x14ac:dyDescent="0.35"/>
    <row r="3848" customFormat="1" x14ac:dyDescent="0.35"/>
    <row r="3849" customFormat="1" x14ac:dyDescent="0.35"/>
    <row r="3850" customFormat="1" x14ac:dyDescent="0.35"/>
    <row r="3851" customFormat="1" x14ac:dyDescent="0.35"/>
    <row r="3852" customFormat="1" x14ac:dyDescent="0.35"/>
    <row r="3853" customFormat="1" x14ac:dyDescent="0.35"/>
    <row r="3854" customFormat="1" x14ac:dyDescent="0.35"/>
    <row r="3855" customFormat="1" x14ac:dyDescent="0.35"/>
    <row r="3856" customFormat="1" x14ac:dyDescent="0.35"/>
    <row r="3857" customFormat="1" x14ac:dyDescent="0.35"/>
    <row r="3858" customFormat="1" x14ac:dyDescent="0.35"/>
    <row r="3859" customFormat="1" x14ac:dyDescent="0.35"/>
    <row r="3860" customFormat="1" x14ac:dyDescent="0.35"/>
    <row r="3861" customFormat="1" x14ac:dyDescent="0.35"/>
    <row r="3862" customFormat="1" x14ac:dyDescent="0.35"/>
    <row r="3863" customFormat="1" x14ac:dyDescent="0.35"/>
    <row r="3864" customFormat="1" x14ac:dyDescent="0.35"/>
    <row r="3865" customFormat="1" x14ac:dyDescent="0.35"/>
    <row r="3866" customFormat="1" x14ac:dyDescent="0.35"/>
    <row r="3867" customFormat="1" x14ac:dyDescent="0.35"/>
    <row r="3868" customFormat="1" x14ac:dyDescent="0.35"/>
    <row r="3869" customFormat="1" x14ac:dyDescent="0.35"/>
    <row r="3870" customFormat="1" x14ac:dyDescent="0.35"/>
    <row r="3871" customFormat="1" x14ac:dyDescent="0.35"/>
    <row r="3872" customFormat="1" x14ac:dyDescent="0.35"/>
    <row r="3873" customFormat="1" x14ac:dyDescent="0.35"/>
    <row r="3874" customFormat="1" x14ac:dyDescent="0.35"/>
    <row r="3875" customFormat="1" x14ac:dyDescent="0.35"/>
    <row r="3876" customFormat="1" x14ac:dyDescent="0.35"/>
    <row r="3877" customFormat="1" x14ac:dyDescent="0.35"/>
    <row r="3878" customFormat="1" x14ac:dyDescent="0.35"/>
    <row r="3879" customFormat="1" x14ac:dyDescent="0.35"/>
    <row r="3880" customFormat="1" x14ac:dyDescent="0.35"/>
    <row r="3881" customFormat="1" x14ac:dyDescent="0.35"/>
    <row r="3882" customFormat="1" x14ac:dyDescent="0.35"/>
    <row r="3883" customFormat="1" x14ac:dyDescent="0.35"/>
    <row r="3884" customFormat="1" x14ac:dyDescent="0.35"/>
    <row r="3885" customFormat="1" x14ac:dyDescent="0.35"/>
    <row r="3886" customFormat="1" x14ac:dyDescent="0.35"/>
    <row r="3887" customFormat="1" x14ac:dyDescent="0.35"/>
    <row r="3888" customFormat="1" x14ac:dyDescent="0.35"/>
    <row r="3889" customFormat="1" x14ac:dyDescent="0.35"/>
    <row r="3890" customFormat="1" x14ac:dyDescent="0.35"/>
    <row r="3891" customFormat="1" x14ac:dyDescent="0.35"/>
    <row r="3892" customFormat="1" x14ac:dyDescent="0.35"/>
    <row r="3893" customFormat="1" x14ac:dyDescent="0.35"/>
    <row r="3894" customFormat="1" x14ac:dyDescent="0.35"/>
    <row r="3895" customFormat="1" x14ac:dyDescent="0.35"/>
    <row r="3896" customFormat="1" x14ac:dyDescent="0.35"/>
    <row r="3897" customFormat="1" x14ac:dyDescent="0.35"/>
    <row r="3898" customFormat="1" x14ac:dyDescent="0.35"/>
    <row r="3899" customFormat="1" x14ac:dyDescent="0.35"/>
    <row r="3900" customFormat="1" x14ac:dyDescent="0.35"/>
    <row r="3901" customFormat="1" x14ac:dyDescent="0.35"/>
    <row r="3902" customFormat="1" x14ac:dyDescent="0.35"/>
    <row r="3903" customFormat="1" x14ac:dyDescent="0.35"/>
    <row r="3904" customFormat="1" x14ac:dyDescent="0.35"/>
    <row r="3905" customFormat="1" x14ac:dyDescent="0.35"/>
    <row r="3906" customFormat="1" x14ac:dyDescent="0.35"/>
    <row r="3907" customFormat="1" x14ac:dyDescent="0.35"/>
    <row r="3908" customFormat="1" x14ac:dyDescent="0.35"/>
    <row r="3909" customFormat="1" x14ac:dyDescent="0.35"/>
    <row r="3910" customFormat="1" x14ac:dyDescent="0.35"/>
    <row r="3911" customFormat="1" x14ac:dyDescent="0.35"/>
    <row r="3912" customFormat="1" x14ac:dyDescent="0.35"/>
    <row r="3913" customFormat="1" x14ac:dyDescent="0.35"/>
    <row r="3914" customFormat="1" x14ac:dyDescent="0.35"/>
    <row r="3915" customFormat="1" x14ac:dyDescent="0.35"/>
    <row r="3916" customFormat="1" x14ac:dyDescent="0.35"/>
    <row r="3917" customFormat="1" x14ac:dyDescent="0.35"/>
    <row r="3918" customFormat="1" x14ac:dyDescent="0.35"/>
    <row r="3919" customFormat="1" x14ac:dyDescent="0.35"/>
    <row r="3920" customFormat="1" x14ac:dyDescent="0.35"/>
    <row r="3921" customFormat="1" x14ac:dyDescent="0.35"/>
    <row r="3922" customFormat="1" x14ac:dyDescent="0.35"/>
    <row r="3923" customFormat="1" x14ac:dyDescent="0.35"/>
    <row r="3924" customFormat="1" x14ac:dyDescent="0.35"/>
    <row r="3925" customFormat="1" x14ac:dyDescent="0.35"/>
    <row r="3926" customFormat="1" x14ac:dyDescent="0.35"/>
    <row r="3927" customFormat="1" x14ac:dyDescent="0.35"/>
    <row r="3928" customFormat="1" x14ac:dyDescent="0.35"/>
    <row r="3929" customFormat="1" x14ac:dyDescent="0.35"/>
    <row r="3930" customFormat="1" x14ac:dyDescent="0.35"/>
    <row r="3931" customFormat="1" x14ac:dyDescent="0.35"/>
    <row r="3932" customFormat="1" x14ac:dyDescent="0.35"/>
    <row r="3933" customFormat="1" x14ac:dyDescent="0.35"/>
    <row r="3934" customFormat="1" x14ac:dyDescent="0.35"/>
    <row r="3935" customFormat="1" x14ac:dyDescent="0.35"/>
    <row r="3936" customFormat="1" x14ac:dyDescent="0.35"/>
    <row r="3937" customFormat="1" x14ac:dyDescent="0.35"/>
    <row r="3938" customFormat="1" x14ac:dyDescent="0.35"/>
    <row r="3939" customFormat="1" x14ac:dyDescent="0.35"/>
    <row r="3940" customFormat="1" x14ac:dyDescent="0.35"/>
    <row r="3941" customFormat="1" x14ac:dyDescent="0.35"/>
    <row r="3942" customFormat="1" x14ac:dyDescent="0.35"/>
    <row r="3943" customFormat="1" x14ac:dyDescent="0.35"/>
    <row r="3944" customFormat="1" x14ac:dyDescent="0.35"/>
    <row r="3945" customFormat="1" x14ac:dyDescent="0.35"/>
    <row r="3946" customFormat="1" x14ac:dyDescent="0.35"/>
    <row r="3947" customFormat="1" x14ac:dyDescent="0.35"/>
    <row r="3948" customFormat="1" x14ac:dyDescent="0.35"/>
    <row r="3949" customFormat="1" x14ac:dyDescent="0.35"/>
    <row r="3950" customFormat="1" x14ac:dyDescent="0.35"/>
    <row r="3951" customFormat="1" x14ac:dyDescent="0.35"/>
    <row r="3952" customFormat="1" x14ac:dyDescent="0.35"/>
    <row r="3953" customFormat="1" x14ac:dyDescent="0.35"/>
    <row r="3954" customFormat="1" x14ac:dyDescent="0.35"/>
    <row r="3955" customFormat="1" x14ac:dyDescent="0.35"/>
    <row r="3956" customFormat="1" x14ac:dyDescent="0.35"/>
    <row r="3957" customFormat="1" x14ac:dyDescent="0.35"/>
    <row r="3958" customFormat="1" x14ac:dyDescent="0.35"/>
    <row r="3959" customFormat="1" x14ac:dyDescent="0.35"/>
    <row r="3960" customFormat="1" x14ac:dyDescent="0.35"/>
    <row r="3961" customFormat="1" x14ac:dyDescent="0.35"/>
    <row r="3962" customFormat="1" x14ac:dyDescent="0.35"/>
    <row r="3963" customFormat="1" x14ac:dyDescent="0.35"/>
    <row r="3964" customFormat="1" x14ac:dyDescent="0.35"/>
    <row r="3965" customFormat="1" x14ac:dyDescent="0.35"/>
    <row r="3966" customFormat="1" x14ac:dyDescent="0.35"/>
    <row r="3967" customFormat="1" x14ac:dyDescent="0.35"/>
    <row r="3968" customFormat="1" x14ac:dyDescent="0.35"/>
    <row r="3969" customFormat="1" x14ac:dyDescent="0.35"/>
    <row r="3970" customFormat="1" x14ac:dyDescent="0.35"/>
    <row r="3971" customFormat="1" x14ac:dyDescent="0.35"/>
    <row r="3972" customFormat="1" x14ac:dyDescent="0.35"/>
    <row r="3973" customFormat="1" x14ac:dyDescent="0.35"/>
    <row r="3974" customFormat="1" x14ac:dyDescent="0.35"/>
    <row r="3975" customFormat="1" x14ac:dyDescent="0.35"/>
    <row r="3976" customFormat="1" x14ac:dyDescent="0.35"/>
    <row r="3977" customFormat="1" x14ac:dyDescent="0.35"/>
    <row r="3978" customFormat="1" x14ac:dyDescent="0.35"/>
    <row r="3979" customFormat="1" x14ac:dyDescent="0.35"/>
    <row r="3980" customFormat="1" x14ac:dyDescent="0.35"/>
    <row r="3981" customFormat="1" x14ac:dyDescent="0.35"/>
    <row r="3982" customFormat="1" x14ac:dyDescent="0.35"/>
    <row r="3983" customFormat="1" x14ac:dyDescent="0.35"/>
    <row r="3984" customFormat="1" x14ac:dyDescent="0.35"/>
    <row r="3985" customFormat="1" x14ac:dyDescent="0.35"/>
    <row r="3986" customFormat="1" x14ac:dyDescent="0.35"/>
    <row r="3987" customFormat="1" x14ac:dyDescent="0.35"/>
    <row r="3988" customFormat="1" x14ac:dyDescent="0.35"/>
    <row r="3989" customFormat="1" x14ac:dyDescent="0.35"/>
    <row r="3990" customFormat="1" x14ac:dyDescent="0.35"/>
    <row r="3991" customFormat="1" x14ac:dyDescent="0.35"/>
    <row r="3992" customFormat="1" x14ac:dyDescent="0.35"/>
    <row r="3993" customFormat="1" x14ac:dyDescent="0.35"/>
    <row r="3994" customFormat="1" x14ac:dyDescent="0.35"/>
    <row r="3995" customFormat="1" x14ac:dyDescent="0.35"/>
    <row r="3996" customFormat="1" x14ac:dyDescent="0.35"/>
    <row r="3997" customFormat="1" x14ac:dyDescent="0.35"/>
    <row r="3998" customFormat="1" x14ac:dyDescent="0.35"/>
    <row r="3999" customFormat="1" x14ac:dyDescent="0.35"/>
    <row r="4000" customFormat="1" x14ac:dyDescent="0.35"/>
    <row r="4001" customFormat="1" x14ac:dyDescent="0.35"/>
    <row r="4002" customFormat="1" x14ac:dyDescent="0.35"/>
    <row r="4003" customFormat="1" x14ac:dyDescent="0.35"/>
    <row r="4004" customFormat="1" x14ac:dyDescent="0.35"/>
    <row r="4005" customFormat="1" x14ac:dyDescent="0.35"/>
    <row r="4006" customFormat="1" x14ac:dyDescent="0.35"/>
    <row r="4007" customFormat="1" x14ac:dyDescent="0.35"/>
    <row r="4008" customFormat="1" x14ac:dyDescent="0.35"/>
    <row r="4009" customFormat="1" x14ac:dyDescent="0.35"/>
    <row r="4010" customFormat="1" x14ac:dyDescent="0.35"/>
    <row r="4011" customFormat="1" x14ac:dyDescent="0.35"/>
    <row r="4012" customFormat="1" x14ac:dyDescent="0.35"/>
    <row r="4013" customFormat="1" x14ac:dyDescent="0.35"/>
    <row r="4014" customFormat="1" x14ac:dyDescent="0.35"/>
    <row r="4015" customFormat="1" x14ac:dyDescent="0.35"/>
    <row r="4016" customFormat="1" x14ac:dyDescent="0.35"/>
    <row r="4017" customFormat="1" x14ac:dyDescent="0.35"/>
    <row r="4018" customFormat="1" x14ac:dyDescent="0.35"/>
    <row r="4019" customFormat="1" x14ac:dyDescent="0.35"/>
    <row r="4020" customFormat="1" x14ac:dyDescent="0.35"/>
    <row r="4021" customFormat="1" x14ac:dyDescent="0.35"/>
    <row r="4022" customFormat="1" x14ac:dyDescent="0.35"/>
    <row r="4023" customFormat="1" x14ac:dyDescent="0.35"/>
    <row r="4024" customFormat="1" x14ac:dyDescent="0.35"/>
    <row r="4025" customFormat="1" x14ac:dyDescent="0.35"/>
    <row r="4026" customFormat="1" x14ac:dyDescent="0.35"/>
    <row r="4027" customFormat="1" x14ac:dyDescent="0.35"/>
    <row r="4028" customFormat="1" x14ac:dyDescent="0.35"/>
    <row r="4029" customFormat="1" x14ac:dyDescent="0.35"/>
    <row r="4030" customFormat="1" x14ac:dyDescent="0.35"/>
    <row r="4031" customFormat="1" x14ac:dyDescent="0.35"/>
    <row r="4032" customFormat="1" x14ac:dyDescent="0.35"/>
    <row r="4033" customFormat="1" x14ac:dyDescent="0.35"/>
    <row r="4034" customFormat="1" x14ac:dyDescent="0.35"/>
    <row r="4035" customFormat="1" x14ac:dyDescent="0.35"/>
    <row r="4036" customFormat="1" x14ac:dyDescent="0.35"/>
    <row r="4037" customFormat="1" x14ac:dyDescent="0.35"/>
    <row r="4038" customFormat="1" x14ac:dyDescent="0.35"/>
    <row r="4039" customFormat="1" x14ac:dyDescent="0.35"/>
    <row r="4040" customFormat="1" x14ac:dyDescent="0.35"/>
    <row r="4041" customFormat="1" x14ac:dyDescent="0.35"/>
    <row r="4042" customFormat="1" x14ac:dyDescent="0.35"/>
    <row r="4043" customFormat="1" x14ac:dyDescent="0.35"/>
    <row r="4044" customFormat="1" x14ac:dyDescent="0.35"/>
    <row r="4045" customFormat="1" x14ac:dyDescent="0.35"/>
    <row r="4046" customFormat="1" x14ac:dyDescent="0.35"/>
    <row r="4047" customFormat="1" x14ac:dyDescent="0.35"/>
    <row r="4048" customFormat="1" x14ac:dyDescent="0.35"/>
    <row r="4049" customFormat="1" x14ac:dyDescent="0.35"/>
    <row r="4050" customFormat="1" x14ac:dyDescent="0.35"/>
    <row r="4051" customFormat="1" x14ac:dyDescent="0.35"/>
    <row r="4052" customFormat="1" x14ac:dyDescent="0.35"/>
    <row r="4053" customFormat="1" x14ac:dyDescent="0.35"/>
    <row r="4054" customFormat="1" x14ac:dyDescent="0.35"/>
    <row r="4055" customFormat="1" x14ac:dyDescent="0.35"/>
    <row r="4056" customFormat="1" x14ac:dyDescent="0.35"/>
    <row r="4057" customFormat="1" x14ac:dyDescent="0.35"/>
    <row r="4058" customFormat="1" x14ac:dyDescent="0.35"/>
    <row r="4059" customFormat="1" x14ac:dyDescent="0.35"/>
    <row r="4060" customFormat="1" x14ac:dyDescent="0.35"/>
    <row r="4061" customFormat="1" x14ac:dyDescent="0.35"/>
    <row r="4062" customFormat="1" x14ac:dyDescent="0.35"/>
    <row r="4063" customFormat="1" x14ac:dyDescent="0.35"/>
    <row r="4064" customFormat="1" x14ac:dyDescent="0.35"/>
    <row r="4065" customFormat="1" x14ac:dyDescent="0.35"/>
    <row r="4066" customFormat="1" x14ac:dyDescent="0.35"/>
    <row r="4067" customFormat="1" x14ac:dyDescent="0.35"/>
    <row r="4068" customFormat="1" x14ac:dyDescent="0.35"/>
    <row r="4069" customFormat="1" x14ac:dyDescent="0.35"/>
    <row r="4070" customFormat="1" x14ac:dyDescent="0.35"/>
    <row r="4071" customFormat="1" x14ac:dyDescent="0.35"/>
    <row r="4072" customFormat="1" x14ac:dyDescent="0.35"/>
    <row r="4073" customFormat="1" x14ac:dyDescent="0.35"/>
    <row r="4074" customFormat="1" x14ac:dyDescent="0.35"/>
    <row r="4075" customFormat="1" x14ac:dyDescent="0.35"/>
    <row r="4076" customFormat="1" x14ac:dyDescent="0.35"/>
    <row r="4077" customFormat="1" x14ac:dyDescent="0.35"/>
    <row r="4078" customFormat="1" x14ac:dyDescent="0.35"/>
    <row r="4079" customFormat="1" x14ac:dyDescent="0.35"/>
    <row r="4080" customFormat="1" x14ac:dyDescent="0.35"/>
    <row r="4081" customFormat="1" x14ac:dyDescent="0.35"/>
    <row r="4082" customFormat="1" x14ac:dyDescent="0.35"/>
    <row r="4083" customFormat="1" x14ac:dyDescent="0.35"/>
    <row r="4084" customFormat="1" x14ac:dyDescent="0.35"/>
    <row r="4085" customFormat="1" x14ac:dyDescent="0.35"/>
    <row r="4086" customFormat="1" x14ac:dyDescent="0.35"/>
    <row r="4087" customFormat="1" x14ac:dyDescent="0.35"/>
    <row r="4088" customFormat="1" x14ac:dyDescent="0.35"/>
    <row r="4089" customFormat="1" x14ac:dyDescent="0.35"/>
    <row r="4090" customFormat="1" x14ac:dyDescent="0.35"/>
    <row r="4091" customFormat="1" x14ac:dyDescent="0.35"/>
    <row r="4092" customFormat="1" x14ac:dyDescent="0.35"/>
    <row r="4093" customFormat="1" x14ac:dyDescent="0.35"/>
    <row r="4094" customFormat="1" x14ac:dyDescent="0.35"/>
    <row r="4095" customFormat="1" x14ac:dyDescent="0.35"/>
    <row r="4096" customFormat="1" x14ac:dyDescent="0.35"/>
    <row r="4097" customFormat="1" x14ac:dyDescent="0.35"/>
    <row r="4098" customFormat="1" x14ac:dyDescent="0.35"/>
    <row r="4099" customFormat="1" x14ac:dyDescent="0.35"/>
    <row r="4100" customFormat="1" x14ac:dyDescent="0.35"/>
    <row r="4101" customFormat="1" x14ac:dyDescent="0.35"/>
    <row r="4102" customFormat="1" x14ac:dyDescent="0.35"/>
    <row r="4103" customFormat="1" x14ac:dyDescent="0.35"/>
    <row r="4104" customFormat="1" x14ac:dyDescent="0.35"/>
    <row r="4105" customFormat="1" x14ac:dyDescent="0.35"/>
    <row r="4106" customFormat="1" x14ac:dyDescent="0.35"/>
    <row r="4107" customFormat="1" x14ac:dyDescent="0.35"/>
    <row r="4108" customFormat="1" x14ac:dyDescent="0.35"/>
    <row r="4109" customFormat="1" x14ac:dyDescent="0.35"/>
    <row r="4110" customFormat="1" x14ac:dyDescent="0.35"/>
    <row r="4111" customFormat="1" x14ac:dyDescent="0.35"/>
    <row r="4112" customFormat="1" x14ac:dyDescent="0.35"/>
    <row r="4113" customFormat="1" x14ac:dyDescent="0.35"/>
    <row r="4114" customFormat="1" x14ac:dyDescent="0.35"/>
    <row r="4115" customFormat="1" x14ac:dyDescent="0.35"/>
    <row r="4116" customFormat="1" x14ac:dyDescent="0.35"/>
    <row r="4117" customFormat="1" x14ac:dyDescent="0.35"/>
    <row r="4118" customFormat="1" x14ac:dyDescent="0.35"/>
    <row r="4119" customFormat="1" x14ac:dyDescent="0.35"/>
    <row r="4120" customFormat="1" x14ac:dyDescent="0.35"/>
    <row r="4121" customFormat="1" x14ac:dyDescent="0.35"/>
    <row r="4122" customFormat="1" x14ac:dyDescent="0.35"/>
    <row r="4123" customFormat="1" x14ac:dyDescent="0.35"/>
    <row r="4124" customFormat="1" x14ac:dyDescent="0.35"/>
    <row r="4125" customFormat="1" x14ac:dyDescent="0.35"/>
    <row r="4126" customFormat="1" x14ac:dyDescent="0.35"/>
    <row r="4127" customFormat="1" x14ac:dyDescent="0.35"/>
    <row r="4128" customFormat="1" x14ac:dyDescent="0.35"/>
    <row r="4129" customFormat="1" x14ac:dyDescent="0.35"/>
    <row r="4130" customFormat="1" x14ac:dyDescent="0.35"/>
    <row r="4131" customFormat="1" x14ac:dyDescent="0.35"/>
    <row r="4132" customFormat="1" x14ac:dyDescent="0.35"/>
    <row r="4133" customFormat="1" x14ac:dyDescent="0.35"/>
    <row r="4134" customFormat="1" x14ac:dyDescent="0.35"/>
    <row r="4135" customFormat="1" x14ac:dyDescent="0.35"/>
    <row r="4136" customFormat="1" x14ac:dyDescent="0.35"/>
    <row r="4137" customFormat="1" x14ac:dyDescent="0.35"/>
    <row r="4138" customFormat="1" x14ac:dyDescent="0.35"/>
    <row r="4139" customFormat="1" x14ac:dyDescent="0.35"/>
    <row r="4140" customFormat="1" x14ac:dyDescent="0.35"/>
    <row r="4141" customFormat="1" x14ac:dyDescent="0.35"/>
    <row r="4142" customFormat="1" x14ac:dyDescent="0.35"/>
    <row r="4143" customFormat="1" x14ac:dyDescent="0.35"/>
    <row r="4144" customFormat="1" x14ac:dyDescent="0.35"/>
    <row r="4145" customFormat="1" x14ac:dyDescent="0.35"/>
    <row r="4146" customFormat="1" x14ac:dyDescent="0.35"/>
    <row r="4147" customFormat="1" x14ac:dyDescent="0.35"/>
    <row r="4148" customFormat="1" x14ac:dyDescent="0.35"/>
    <row r="4149" customFormat="1" x14ac:dyDescent="0.35"/>
    <row r="4150" customFormat="1" x14ac:dyDescent="0.35"/>
    <row r="4151" customFormat="1" x14ac:dyDescent="0.35"/>
    <row r="4152" customFormat="1" x14ac:dyDescent="0.35"/>
    <row r="4153" customFormat="1" x14ac:dyDescent="0.35"/>
    <row r="4154" customFormat="1" x14ac:dyDescent="0.35"/>
    <row r="4155" customFormat="1" x14ac:dyDescent="0.35"/>
    <row r="4156" customFormat="1" x14ac:dyDescent="0.35"/>
    <row r="4157" customFormat="1" x14ac:dyDescent="0.35"/>
    <row r="4158" customFormat="1" x14ac:dyDescent="0.35"/>
    <row r="4159" customFormat="1" x14ac:dyDescent="0.35"/>
    <row r="4160" customFormat="1" x14ac:dyDescent="0.35"/>
    <row r="4161" customFormat="1" x14ac:dyDescent="0.35"/>
    <row r="4162" customFormat="1" x14ac:dyDescent="0.35"/>
    <row r="4163" customFormat="1" x14ac:dyDescent="0.35"/>
    <row r="4164" customFormat="1" x14ac:dyDescent="0.35"/>
    <row r="4165" customFormat="1" x14ac:dyDescent="0.35"/>
    <row r="4166" customFormat="1" x14ac:dyDescent="0.35"/>
    <row r="4167" customFormat="1" x14ac:dyDescent="0.35"/>
    <row r="4168" customFormat="1" x14ac:dyDescent="0.35"/>
    <row r="4169" customFormat="1" x14ac:dyDescent="0.35"/>
    <row r="4170" customFormat="1" x14ac:dyDescent="0.35"/>
    <row r="4171" customFormat="1" x14ac:dyDescent="0.35"/>
    <row r="4172" customFormat="1" x14ac:dyDescent="0.35"/>
    <row r="4173" customFormat="1" x14ac:dyDescent="0.35"/>
    <row r="4174" customFormat="1" x14ac:dyDescent="0.35"/>
    <row r="4175" customFormat="1" x14ac:dyDescent="0.35"/>
    <row r="4176" customFormat="1" x14ac:dyDescent="0.35"/>
    <row r="4177" customFormat="1" x14ac:dyDescent="0.35"/>
    <row r="4178" customFormat="1" x14ac:dyDescent="0.35"/>
    <row r="4179" customFormat="1" x14ac:dyDescent="0.35"/>
    <row r="4180" customFormat="1" x14ac:dyDescent="0.35"/>
    <row r="4181" customFormat="1" x14ac:dyDescent="0.35"/>
    <row r="4182" customFormat="1" x14ac:dyDescent="0.35"/>
    <row r="4183" customFormat="1" x14ac:dyDescent="0.35"/>
    <row r="4184" customFormat="1" x14ac:dyDescent="0.35"/>
    <row r="4185" customFormat="1" x14ac:dyDescent="0.35"/>
    <row r="4186" customFormat="1" x14ac:dyDescent="0.35"/>
    <row r="4187" customFormat="1" x14ac:dyDescent="0.35"/>
    <row r="4188" customFormat="1" x14ac:dyDescent="0.35"/>
    <row r="4189" customFormat="1" x14ac:dyDescent="0.35"/>
    <row r="4190" customFormat="1" x14ac:dyDescent="0.35"/>
    <row r="4191" customFormat="1" x14ac:dyDescent="0.35"/>
    <row r="4192" customFormat="1" x14ac:dyDescent="0.35"/>
    <row r="4193" customFormat="1" x14ac:dyDescent="0.35"/>
    <row r="4194" customFormat="1" x14ac:dyDescent="0.35"/>
    <row r="4195" customFormat="1" x14ac:dyDescent="0.35"/>
    <row r="4196" customFormat="1" x14ac:dyDescent="0.35"/>
    <row r="4197" customFormat="1" x14ac:dyDescent="0.35"/>
    <row r="4198" customFormat="1" x14ac:dyDescent="0.35"/>
    <row r="4199" customFormat="1" x14ac:dyDescent="0.35"/>
    <row r="4200" customFormat="1" x14ac:dyDescent="0.35"/>
    <row r="4201" customFormat="1" x14ac:dyDescent="0.35"/>
    <row r="4202" customFormat="1" x14ac:dyDescent="0.35"/>
    <row r="4203" customFormat="1" x14ac:dyDescent="0.35"/>
    <row r="4204" customFormat="1" x14ac:dyDescent="0.35"/>
    <row r="4205" customFormat="1" x14ac:dyDescent="0.35"/>
    <row r="4206" customFormat="1" x14ac:dyDescent="0.35"/>
    <row r="4207" customFormat="1" x14ac:dyDescent="0.35"/>
    <row r="4208" customFormat="1" x14ac:dyDescent="0.35"/>
    <row r="4209" customFormat="1" x14ac:dyDescent="0.35"/>
    <row r="4210" customFormat="1" x14ac:dyDescent="0.35"/>
    <row r="4211" customFormat="1" x14ac:dyDescent="0.35"/>
    <row r="4212" customFormat="1" x14ac:dyDescent="0.35"/>
    <row r="4213" customFormat="1" x14ac:dyDescent="0.35"/>
    <row r="4214" customFormat="1" x14ac:dyDescent="0.35"/>
    <row r="4215" customFormat="1" x14ac:dyDescent="0.35"/>
    <row r="4216" customFormat="1" x14ac:dyDescent="0.35"/>
    <row r="4217" customFormat="1" x14ac:dyDescent="0.35"/>
    <row r="4218" customFormat="1" x14ac:dyDescent="0.35"/>
    <row r="4219" customFormat="1" x14ac:dyDescent="0.35"/>
    <row r="4220" customFormat="1" x14ac:dyDescent="0.35"/>
    <row r="4221" customFormat="1" x14ac:dyDescent="0.35"/>
    <row r="4222" customFormat="1" x14ac:dyDescent="0.35"/>
    <row r="4223" customFormat="1" x14ac:dyDescent="0.35"/>
    <row r="4224" customFormat="1" x14ac:dyDescent="0.35"/>
    <row r="4225" customFormat="1" x14ac:dyDescent="0.35"/>
    <row r="4226" customFormat="1" x14ac:dyDescent="0.35"/>
    <row r="4227" customFormat="1" x14ac:dyDescent="0.35"/>
    <row r="4228" customFormat="1" x14ac:dyDescent="0.35"/>
    <row r="4229" customFormat="1" x14ac:dyDescent="0.35"/>
    <row r="4230" customFormat="1" x14ac:dyDescent="0.35"/>
    <row r="4231" customFormat="1" x14ac:dyDescent="0.35"/>
    <row r="4232" customFormat="1" x14ac:dyDescent="0.35"/>
    <row r="4233" customFormat="1" x14ac:dyDescent="0.35"/>
    <row r="4234" customFormat="1" x14ac:dyDescent="0.35"/>
    <row r="4235" customFormat="1" x14ac:dyDescent="0.35"/>
    <row r="4236" customFormat="1" x14ac:dyDescent="0.35"/>
    <row r="4237" customFormat="1" x14ac:dyDescent="0.35"/>
    <row r="4238" customFormat="1" x14ac:dyDescent="0.35"/>
    <row r="4239" customFormat="1" x14ac:dyDescent="0.35"/>
    <row r="4240" customFormat="1" x14ac:dyDescent="0.35"/>
    <row r="4241" customFormat="1" x14ac:dyDescent="0.35"/>
    <row r="4242" customFormat="1" x14ac:dyDescent="0.35"/>
    <row r="4243" customFormat="1" x14ac:dyDescent="0.35"/>
    <row r="4244" customFormat="1" x14ac:dyDescent="0.35"/>
    <row r="4245" customFormat="1" x14ac:dyDescent="0.35"/>
    <row r="4246" customFormat="1" x14ac:dyDescent="0.35"/>
    <row r="4247" customFormat="1" x14ac:dyDescent="0.35"/>
    <row r="4248" customFormat="1" x14ac:dyDescent="0.35"/>
    <row r="4249" customFormat="1" x14ac:dyDescent="0.35"/>
    <row r="4250" customFormat="1" x14ac:dyDescent="0.35"/>
    <row r="4251" customFormat="1" x14ac:dyDescent="0.35"/>
    <row r="4252" customFormat="1" x14ac:dyDescent="0.35"/>
    <row r="4253" customFormat="1" x14ac:dyDescent="0.35"/>
    <row r="4254" customFormat="1" x14ac:dyDescent="0.35"/>
    <row r="4255" customFormat="1" x14ac:dyDescent="0.35"/>
    <row r="4256" customFormat="1" x14ac:dyDescent="0.35"/>
    <row r="4257" customFormat="1" x14ac:dyDescent="0.35"/>
    <row r="4258" customFormat="1" x14ac:dyDescent="0.35"/>
    <row r="4259" customFormat="1" x14ac:dyDescent="0.35"/>
    <row r="4260" customFormat="1" x14ac:dyDescent="0.35"/>
    <row r="4261" customFormat="1" x14ac:dyDescent="0.35"/>
    <row r="4262" customFormat="1" x14ac:dyDescent="0.35"/>
    <row r="4263" customFormat="1" x14ac:dyDescent="0.35"/>
    <row r="4264" customFormat="1" x14ac:dyDescent="0.35"/>
    <row r="4265" customFormat="1" x14ac:dyDescent="0.35"/>
    <row r="4266" customFormat="1" x14ac:dyDescent="0.35"/>
    <row r="4267" customFormat="1" x14ac:dyDescent="0.35"/>
    <row r="4268" customFormat="1" x14ac:dyDescent="0.35"/>
    <row r="4269" customFormat="1" x14ac:dyDescent="0.35"/>
    <row r="4270" customFormat="1" x14ac:dyDescent="0.35"/>
    <row r="4271" customFormat="1" x14ac:dyDescent="0.35"/>
    <row r="4272" customFormat="1" x14ac:dyDescent="0.35"/>
    <row r="4273" customFormat="1" x14ac:dyDescent="0.35"/>
    <row r="4274" customFormat="1" x14ac:dyDescent="0.35"/>
    <row r="4275" customFormat="1" x14ac:dyDescent="0.35"/>
    <row r="4276" customFormat="1" x14ac:dyDescent="0.35"/>
    <row r="4277" customFormat="1" x14ac:dyDescent="0.35"/>
    <row r="4278" customFormat="1" x14ac:dyDescent="0.35"/>
    <row r="4279" customFormat="1" x14ac:dyDescent="0.35"/>
    <row r="4280" customFormat="1" x14ac:dyDescent="0.35"/>
    <row r="4281" customFormat="1" x14ac:dyDescent="0.35"/>
    <row r="4282" customFormat="1" x14ac:dyDescent="0.35"/>
    <row r="4283" customFormat="1" x14ac:dyDescent="0.35"/>
    <row r="4284" customFormat="1" x14ac:dyDescent="0.35"/>
    <row r="4285" customFormat="1" x14ac:dyDescent="0.35"/>
    <row r="4286" customFormat="1" x14ac:dyDescent="0.35"/>
    <row r="4287" customFormat="1" x14ac:dyDescent="0.35"/>
    <row r="4288" customFormat="1" x14ac:dyDescent="0.35"/>
    <row r="4289" customFormat="1" x14ac:dyDescent="0.35"/>
    <row r="4290" customFormat="1" x14ac:dyDescent="0.35"/>
    <row r="4291" customFormat="1" x14ac:dyDescent="0.35"/>
    <row r="4292" customFormat="1" x14ac:dyDescent="0.35"/>
    <row r="4293" customFormat="1" x14ac:dyDescent="0.35"/>
    <row r="4294" customFormat="1" x14ac:dyDescent="0.35"/>
    <row r="4295" customFormat="1" x14ac:dyDescent="0.35"/>
    <row r="4296" customFormat="1" x14ac:dyDescent="0.35"/>
    <row r="4297" customFormat="1" x14ac:dyDescent="0.35"/>
    <row r="4298" customFormat="1" x14ac:dyDescent="0.35"/>
    <row r="4299" customFormat="1" x14ac:dyDescent="0.35"/>
    <row r="4300" customFormat="1" x14ac:dyDescent="0.35"/>
    <row r="4301" customFormat="1" x14ac:dyDescent="0.35"/>
    <row r="4302" customFormat="1" x14ac:dyDescent="0.35"/>
    <row r="4303" customFormat="1" x14ac:dyDescent="0.35"/>
    <row r="4304" customFormat="1" x14ac:dyDescent="0.35"/>
    <row r="4305" customFormat="1" x14ac:dyDescent="0.35"/>
    <row r="4306" customFormat="1" x14ac:dyDescent="0.35"/>
    <row r="4307" customFormat="1" x14ac:dyDescent="0.35"/>
    <row r="4308" customFormat="1" x14ac:dyDescent="0.35"/>
    <row r="4309" customFormat="1" x14ac:dyDescent="0.35"/>
    <row r="4310" customFormat="1" x14ac:dyDescent="0.35"/>
    <row r="4311" customFormat="1" x14ac:dyDescent="0.35"/>
    <row r="4312" customFormat="1" x14ac:dyDescent="0.35"/>
    <row r="4313" customFormat="1" x14ac:dyDescent="0.35"/>
    <row r="4314" customFormat="1" x14ac:dyDescent="0.35"/>
    <row r="4315" customFormat="1" x14ac:dyDescent="0.35"/>
    <row r="4316" customFormat="1" x14ac:dyDescent="0.35"/>
    <row r="4317" customFormat="1" x14ac:dyDescent="0.35"/>
    <row r="4318" customFormat="1" x14ac:dyDescent="0.35"/>
    <row r="4319" customFormat="1" x14ac:dyDescent="0.35"/>
    <row r="4320" customFormat="1" x14ac:dyDescent="0.35"/>
    <row r="4321" customFormat="1" x14ac:dyDescent="0.35"/>
    <row r="4322" customFormat="1" x14ac:dyDescent="0.35"/>
    <row r="4323" customFormat="1" x14ac:dyDescent="0.35"/>
    <row r="4324" customFormat="1" x14ac:dyDescent="0.35"/>
    <row r="4325" customFormat="1" x14ac:dyDescent="0.35"/>
    <row r="4326" customFormat="1" x14ac:dyDescent="0.35"/>
    <row r="4327" customFormat="1" x14ac:dyDescent="0.35"/>
    <row r="4328" customFormat="1" x14ac:dyDescent="0.35"/>
    <row r="4329" customFormat="1" x14ac:dyDescent="0.35"/>
    <row r="4330" customFormat="1" x14ac:dyDescent="0.35"/>
    <row r="4331" customFormat="1" x14ac:dyDescent="0.35"/>
    <row r="4332" customFormat="1" x14ac:dyDescent="0.35"/>
    <row r="4333" customFormat="1" x14ac:dyDescent="0.35"/>
    <row r="4334" customFormat="1" x14ac:dyDescent="0.35"/>
    <row r="4335" customFormat="1" x14ac:dyDescent="0.35"/>
    <row r="4336" customFormat="1" x14ac:dyDescent="0.35"/>
    <row r="4337" customFormat="1" x14ac:dyDescent="0.35"/>
    <row r="4338" customFormat="1" x14ac:dyDescent="0.35"/>
    <row r="4339" customFormat="1" x14ac:dyDescent="0.35"/>
    <row r="4340" customFormat="1" x14ac:dyDescent="0.35"/>
    <row r="4341" customFormat="1" x14ac:dyDescent="0.35"/>
    <row r="4342" customFormat="1" x14ac:dyDescent="0.35"/>
    <row r="4343" customFormat="1" x14ac:dyDescent="0.35"/>
    <row r="4344" customFormat="1" x14ac:dyDescent="0.35"/>
    <row r="4345" customFormat="1" x14ac:dyDescent="0.35"/>
    <row r="4346" customFormat="1" x14ac:dyDescent="0.35"/>
    <row r="4347" customFormat="1" x14ac:dyDescent="0.35"/>
    <row r="4348" customFormat="1" x14ac:dyDescent="0.35"/>
    <row r="4349" customFormat="1" x14ac:dyDescent="0.35"/>
    <row r="4350" customFormat="1" x14ac:dyDescent="0.35"/>
    <row r="4351" customFormat="1" x14ac:dyDescent="0.35"/>
    <row r="4352" customFormat="1" x14ac:dyDescent="0.35"/>
    <row r="4353" customFormat="1" x14ac:dyDescent="0.35"/>
    <row r="4354" customFormat="1" x14ac:dyDescent="0.35"/>
    <row r="4355" customFormat="1" x14ac:dyDescent="0.35"/>
    <row r="4356" customFormat="1" x14ac:dyDescent="0.35"/>
    <row r="4357" customFormat="1" x14ac:dyDescent="0.35"/>
    <row r="4358" customFormat="1" x14ac:dyDescent="0.35"/>
    <row r="4359" customFormat="1" x14ac:dyDescent="0.35"/>
    <row r="4360" customFormat="1" x14ac:dyDescent="0.35"/>
    <row r="4361" customFormat="1" x14ac:dyDescent="0.35"/>
    <row r="4362" customFormat="1" x14ac:dyDescent="0.35"/>
    <row r="4363" customFormat="1" x14ac:dyDescent="0.35"/>
    <row r="4364" customFormat="1" x14ac:dyDescent="0.35"/>
    <row r="4365" customFormat="1" x14ac:dyDescent="0.35"/>
    <row r="4366" customFormat="1" x14ac:dyDescent="0.35"/>
    <row r="4367" customFormat="1" x14ac:dyDescent="0.35"/>
    <row r="4368" customFormat="1" x14ac:dyDescent="0.35"/>
    <row r="4369" customFormat="1" x14ac:dyDescent="0.35"/>
    <row r="4370" customFormat="1" x14ac:dyDescent="0.35"/>
    <row r="4371" customFormat="1" x14ac:dyDescent="0.35"/>
    <row r="4372" customFormat="1" x14ac:dyDescent="0.35"/>
    <row r="4373" customFormat="1" x14ac:dyDescent="0.35"/>
    <row r="4374" customFormat="1" x14ac:dyDescent="0.35"/>
    <row r="4375" customFormat="1" x14ac:dyDescent="0.35"/>
    <row r="4376" customFormat="1" x14ac:dyDescent="0.35"/>
    <row r="4377" customFormat="1" x14ac:dyDescent="0.35"/>
    <row r="4378" customFormat="1" x14ac:dyDescent="0.35"/>
    <row r="4379" customFormat="1" x14ac:dyDescent="0.35"/>
    <row r="4380" customFormat="1" x14ac:dyDescent="0.35"/>
    <row r="4381" customFormat="1" x14ac:dyDescent="0.35"/>
    <row r="4382" customFormat="1" x14ac:dyDescent="0.35"/>
    <row r="4383" customFormat="1" x14ac:dyDescent="0.35"/>
    <row r="4384" customFormat="1" x14ac:dyDescent="0.35"/>
    <row r="4385" customFormat="1" x14ac:dyDescent="0.35"/>
    <row r="4386" customFormat="1" x14ac:dyDescent="0.35"/>
    <row r="4387" customFormat="1" x14ac:dyDescent="0.35"/>
    <row r="4388" customFormat="1" x14ac:dyDescent="0.35"/>
    <row r="4389" customFormat="1" x14ac:dyDescent="0.35"/>
    <row r="4390" customFormat="1" x14ac:dyDescent="0.35"/>
    <row r="4391" customFormat="1" x14ac:dyDescent="0.35"/>
    <row r="4392" customFormat="1" x14ac:dyDescent="0.35"/>
    <row r="4393" customFormat="1" x14ac:dyDescent="0.35"/>
    <row r="4394" customFormat="1" x14ac:dyDescent="0.35"/>
    <row r="4395" customFormat="1" x14ac:dyDescent="0.35"/>
    <row r="4396" customFormat="1" x14ac:dyDescent="0.35"/>
    <row r="4397" customFormat="1" x14ac:dyDescent="0.35"/>
    <row r="4398" customFormat="1" x14ac:dyDescent="0.35"/>
    <row r="4399" customFormat="1" x14ac:dyDescent="0.35"/>
    <row r="4400" customFormat="1" x14ac:dyDescent="0.35"/>
    <row r="4401" customFormat="1" x14ac:dyDescent="0.35"/>
    <row r="4402" customFormat="1" x14ac:dyDescent="0.35"/>
    <row r="4403" customFormat="1" x14ac:dyDescent="0.35"/>
    <row r="4404" customFormat="1" x14ac:dyDescent="0.35"/>
    <row r="4405" customFormat="1" x14ac:dyDescent="0.35"/>
    <row r="4406" customFormat="1" x14ac:dyDescent="0.35"/>
    <row r="4407" customFormat="1" x14ac:dyDescent="0.35"/>
    <row r="4408" customFormat="1" x14ac:dyDescent="0.35"/>
    <row r="4409" customFormat="1" x14ac:dyDescent="0.35"/>
    <row r="4410" customFormat="1" x14ac:dyDescent="0.35"/>
    <row r="4411" customFormat="1" x14ac:dyDescent="0.35"/>
    <row r="4412" customFormat="1" x14ac:dyDescent="0.35"/>
    <row r="4413" customFormat="1" x14ac:dyDescent="0.35"/>
    <row r="4414" customFormat="1" x14ac:dyDescent="0.35"/>
    <row r="4415" customFormat="1" x14ac:dyDescent="0.35"/>
    <row r="4416" customFormat="1" x14ac:dyDescent="0.35"/>
    <row r="4417" customFormat="1" x14ac:dyDescent="0.35"/>
    <row r="4418" customFormat="1" x14ac:dyDescent="0.35"/>
    <row r="4419" customFormat="1" x14ac:dyDescent="0.35"/>
    <row r="4420" customFormat="1" x14ac:dyDescent="0.35"/>
    <row r="4421" customFormat="1" x14ac:dyDescent="0.35"/>
    <row r="4422" customFormat="1" x14ac:dyDescent="0.35"/>
    <row r="4423" customFormat="1" x14ac:dyDescent="0.35"/>
    <row r="4424" customFormat="1" x14ac:dyDescent="0.35"/>
    <row r="4425" customFormat="1" x14ac:dyDescent="0.35"/>
    <row r="4426" customFormat="1" x14ac:dyDescent="0.35"/>
    <row r="4427" customFormat="1" x14ac:dyDescent="0.35"/>
    <row r="4428" customFormat="1" x14ac:dyDescent="0.35"/>
    <row r="4429" customFormat="1" x14ac:dyDescent="0.35"/>
    <row r="4430" customFormat="1" x14ac:dyDescent="0.35"/>
    <row r="4431" customFormat="1" x14ac:dyDescent="0.35"/>
    <row r="4432" customFormat="1" x14ac:dyDescent="0.35"/>
    <row r="4433" customFormat="1" x14ac:dyDescent="0.35"/>
    <row r="4434" customFormat="1" x14ac:dyDescent="0.35"/>
    <row r="4435" customFormat="1" x14ac:dyDescent="0.35"/>
    <row r="4436" customFormat="1" x14ac:dyDescent="0.35"/>
    <row r="4437" customFormat="1" x14ac:dyDescent="0.35"/>
    <row r="4438" customFormat="1" x14ac:dyDescent="0.35"/>
    <row r="4439" customFormat="1" x14ac:dyDescent="0.35"/>
    <row r="4440" customFormat="1" x14ac:dyDescent="0.35"/>
    <row r="4441" customFormat="1" x14ac:dyDescent="0.35"/>
    <row r="4442" customFormat="1" x14ac:dyDescent="0.35"/>
    <row r="4443" customFormat="1" x14ac:dyDescent="0.35"/>
    <row r="4444" customFormat="1" x14ac:dyDescent="0.35"/>
    <row r="4445" customFormat="1" x14ac:dyDescent="0.35"/>
    <row r="4446" customFormat="1" x14ac:dyDescent="0.35"/>
    <row r="4447" customFormat="1" x14ac:dyDescent="0.35"/>
    <row r="4448" customFormat="1" x14ac:dyDescent="0.35"/>
    <row r="4449" customFormat="1" x14ac:dyDescent="0.35"/>
    <row r="4450" customFormat="1" x14ac:dyDescent="0.35"/>
    <row r="4451" customFormat="1" x14ac:dyDescent="0.35"/>
    <row r="4452" customFormat="1" x14ac:dyDescent="0.35"/>
    <row r="4453" customFormat="1" x14ac:dyDescent="0.35"/>
    <row r="4454" customFormat="1" x14ac:dyDescent="0.35"/>
    <row r="4455" customFormat="1" x14ac:dyDescent="0.35"/>
    <row r="4456" customFormat="1" x14ac:dyDescent="0.35"/>
    <row r="4457" customFormat="1" x14ac:dyDescent="0.35"/>
    <row r="4458" customFormat="1" x14ac:dyDescent="0.35"/>
    <row r="4459" customFormat="1" x14ac:dyDescent="0.35"/>
    <row r="4460" customFormat="1" x14ac:dyDescent="0.35"/>
    <row r="4461" customFormat="1" x14ac:dyDescent="0.35"/>
    <row r="4462" customFormat="1" x14ac:dyDescent="0.35"/>
    <row r="4463" customFormat="1" x14ac:dyDescent="0.35"/>
    <row r="4464" customFormat="1" x14ac:dyDescent="0.35"/>
    <row r="4465" customFormat="1" x14ac:dyDescent="0.35"/>
    <row r="4466" customFormat="1" x14ac:dyDescent="0.35"/>
    <row r="4467" customFormat="1" x14ac:dyDescent="0.35"/>
    <row r="4468" customFormat="1" x14ac:dyDescent="0.35"/>
    <row r="4469" customFormat="1" x14ac:dyDescent="0.35"/>
    <row r="4470" customFormat="1" x14ac:dyDescent="0.35"/>
    <row r="4471" customFormat="1" x14ac:dyDescent="0.35"/>
    <row r="4472" customFormat="1" x14ac:dyDescent="0.35"/>
    <row r="4473" customFormat="1" x14ac:dyDescent="0.35"/>
    <row r="4474" customFormat="1" x14ac:dyDescent="0.35"/>
    <row r="4475" customFormat="1" x14ac:dyDescent="0.35"/>
    <row r="4476" customFormat="1" x14ac:dyDescent="0.35"/>
    <row r="4477" customFormat="1" x14ac:dyDescent="0.35"/>
    <row r="4478" customFormat="1" x14ac:dyDescent="0.35"/>
    <row r="4479" customFormat="1" x14ac:dyDescent="0.35"/>
    <row r="4480" customFormat="1" x14ac:dyDescent="0.35"/>
    <row r="4481" customFormat="1" x14ac:dyDescent="0.35"/>
    <row r="4482" customFormat="1" x14ac:dyDescent="0.35"/>
    <row r="4483" customFormat="1" x14ac:dyDescent="0.35"/>
    <row r="4484" customFormat="1" x14ac:dyDescent="0.35"/>
    <row r="4485" customFormat="1" x14ac:dyDescent="0.35"/>
    <row r="4486" customFormat="1" x14ac:dyDescent="0.35"/>
    <row r="4487" customFormat="1" x14ac:dyDescent="0.35"/>
    <row r="4488" customFormat="1" x14ac:dyDescent="0.35"/>
    <row r="4489" customFormat="1" x14ac:dyDescent="0.35"/>
    <row r="4490" customFormat="1" x14ac:dyDescent="0.35"/>
    <row r="4491" customFormat="1" x14ac:dyDescent="0.35"/>
    <row r="4492" customFormat="1" x14ac:dyDescent="0.35"/>
    <row r="4493" customFormat="1" x14ac:dyDescent="0.35"/>
    <row r="4494" customFormat="1" x14ac:dyDescent="0.35"/>
    <row r="4495" customFormat="1" x14ac:dyDescent="0.35"/>
    <row r="4496" customFormat="1" x14ac:dyDescent="0.35"/>
    <row r="4497" customFormat="1" x14ac:dyDescent="0.35"/>
    <row r="4498" customFormat="1" x14ac:dyDescent="0.35"/>
    <row r="4499" customFormat="1" x14ac:dyDescent="0.35"/>
    <row r="4500" customFormat="1" x14ac:dyDescent="0.35"/>
    <row r="4501" customFormat="1" x14ac:dyDescent="0.35"/>
    <row r="4502" customFormat="1" x14ac:dyDescent="0.35"/>
    <row r="4503" customFormat="1" x14ac:dyDescent="0.35"/>
    <row r="4504" customFormat="1" x14ac:dyDescent="0.35"/>
    <row r="4505" customFormat="1" x14ac:dyDescent="0.35"/>
    <row r="4506" customFormat="1" x14ac:dyDescent="0.35"/>
    <row r="4507" customFormat="1" x14ac:dyDescent="0.35"/>
    <row r="4508" customFormat="1" x14ac:dyDescent="0.35"/>
    <row r="4509" customFormat="1" x14ac:dyDescent="0.35"/>
    <row r="4510" customFormat="1" x14ac:dyDescent="0.35"/>
    <row r="4511" customFormat="1" x14ac:dyDescent="0.35"/>
    <row r="4512" customFormat="1" x14ac:dyDescent="0.35"/>
    <row r="4513" customFormat="1" x14ac:dyDescent="0.35"/>
    <row r="4514" customFormat="1" x14ac:dyDescent="0.35"/>
    <row r="4515" customFormat="1" x14ac:dyDescent="0.35"/>
    <row r="4516" customFormat="1" x14ac:dyDescent="0.35"/>
    <row r="4517" customFormat="1" x14ac:dyDescent="0.35"/>
    <row r="4518" customFormat="1" x14ac:dyDescent="0.35"/>
    <row r="4519" customFormat="1" x14ac:dyDescent="0.35"/>
    <row r="4520" customFormat="1" x14ac:dyDescent="0.35"/>
    <row r="4521" customFormat="1" x14ac:dyDescent="0.35"/>
    <row r="4522" customFormat="1" x14ac:dyDescent="0.35"/>
    <row r="4523" customFormat="1" x14ac:dyDescent="0.35"/>
    <row r="4524" customFormat="1" x14ac:dyDescent="0.35"/>
    <row r="4525" customFormat="1" x14ac:dyDescent="0.35"/>
    <row r="4526" customFormat="1" x14ac:dyDescent="0.35"/>
    <row r="4527" customFormat="1" x14ac:dyDescent="0.35"/>
    <row r="4528" customFormat="1" x14ac:dyDescent="0.35"/>
    <row r="4529" customFormat="1" x14ac:dyDescent="0.35"/>
    <row r="4530" customFormat="1" x14ac:dyDescent="0.35"/>
    <row r="4531" customFormat="1" x14ac:dyDescent="0.35"/>
    <row r="4532" customFormat="1" x14ac:dyDescent="0.35"/>
    <row r="4533" customFormat="1" x14ac:dyDescent="0.35"/>
    <row r="4534" customFormat="1" x14ac:dyDescent="0.35"/>
    <row r="4535" customFormat="1" x14ac:dyDescent="0.35"/>
    <row r="4536" customFormat="1" x14ac:dyDescent="0.35"/>
    <row r="4537" customFormat="1" x14ac:dyDescent="0.35"/>
    <row r="4538" customFormat="1" x14ac:dyDescent="0.35"/>
    <row r="4539" customFormat="1" x14ac:dyDescent="0.35"/>
    <row r="4540" customFormat="1" x14ac:dyDescent="0.35"/>
    <row r="4541" customFormat="1" x14ac:dyDescent="0.35"/>
    <row r="4542" customFormat="1" x14ac:dyDescent="0.35"/>
    <row r="4543" customFormat="1" x14ac:dyDescent="0.35"/>
    <row r="4544" customFormat="1" x14ac:dyDescent="0.35"/>
    <row r="4545" customFormat="1" x14ac:dyDescent="0.35"/>
    <row r="4546" customFormat="1" x14ac:dyDescent="0.35"/>
    <row r="4547" customFormat="1" x14ac:dyDescent="0.35"/>
    <row r="4548" customFormat="1" x14ac:dyDescent="0.35"/>
    <row r="4549" customFormat="1" x14ac:dyDescent="0.35"/>
    <row r="4550" customFormat="1" x14ac:dyDescent="0.35"/>
    <row r="4551" customFormat="1" x14ac:dyDescent="0.35"/>
    <row r="4552" customFormat="1" x14ac:dyDescent="0.35"/>
    <row r="4553" customFormat="1" x14ac:dyDescent="0.35"/>
    <row r="4554" customFormat="1" x14ac:dyDescent="0.35"/>
    <row r="4555" customFormat="1" x14ac:dyDescent="0.35"/>
    <row r="4556" customFormat="1" x14ac:dyDescent="0.35"/>
    <row r="4557" customFormat="1" x14ac:dyDescent="0.35"/>
    <row r="4558" customFormat="1" x14ac:dyDescent="0.35"/>
    <row r="4559" customFormat="1" x14ac:dyDescent="0.35"/>
    <row r="4560" customFormat="1" x14ac:dyDescent="0.35"/>
    <row r="4561" customFormat="1" x14ac:dyDescent="0.35"/>
    <row r="4562" customFormat="1" x14ac:dyDescent="0.35"/>
    <row r="4563" customFormat="1" x14ac:dyDescent="0.35"/>
    <row r="4564" customFormat="1" x14ac:dyDescent="0.35"/>
    <row r="4565" customFormat="1" x14ac:dyDescent="0.35"/>
    <row r="4566" customFormat="1" x14ac:dyDescent="0.35"/>
    <row r="4567" customFormat="1" x14ac:dyDescent="0.35"/>
    <row r="4568" customFormat="1" x14ac:dyDescent="0.35"/>
    <row r="4569" customFormat="1" x14ac:dyDescent="0.35"/>
    <row r="4570" customFormat="1" x14ac:dyDescent="0.35"/>
    <row r="4571" customFormat="1" x14ac:dyDescent="0.35"/>
    <row r="4572" customFormat="1" x14ac:dyDescent="0.35"/>
    <row r="4573" customFormat="1" x14ac:dyDescent="0.35"/>
    <row r="4574" customFormat="1" x14ac:dyDescent="0.35"/>
    <row r="4575" customFormat="1" x14ac:dyDescent="0.35"/>
    <row r="4576" customFormat="1" x14ac:dyDescent="0.35"/>
    <row r="4577" customFormat="1" x14ac:dyDescent="0.35"/>
    <row r="4578" customFormat="1" x14ac:dyDescent="0.35"/>
    <row r="4579" customFormat="1" x14ac:dyDescent="0.35"/>
    <row r="4580" customFormat="1" x14ac:dyDescent="0.35"/>
    <row r="4581" customFormat="1" x14ac:dyDescent="0.35"/>
    <row r="4582" customFormat="1" x14ac:dyDescent="0.35"/>
    <row r="4583" customFormat="1" x14ac:dyDescent="0.35"/>
    <row r="4584" customFormat="1" x14ac:dyDescent="0.35"/>
    <row r="4585" customFormat="1" x14ac:dyDescent="0.35"/>
    <row r="4586" customFormat="1" x14ac:dyDescent="0.35"/>
    <row r="4587" customFormat="1" x14ac:dyDescent="0.35"/>
    <row r="4588" customFormat="1" x14ac:dyDescent="0.35"/>
    <row r="4589" customFormat="1" x14ac:dyDescent="0.35"/>
    <row r="4590" customFormat="1" x14ac:dyDescent="0.35"/>
    <row r="4591" customFormat="1" x14ac:dyDescent="0.35"/>
    <row r="4592" customFormat="1" x14ac:dyDescent="0.35"/>
    <row r="4593" customFormat="1" x14ac:dyDescent="0.35"/>
    <row r="4594" customFormat="1" x14ac:dyDescent="0.35"/>
    <row r="4595" customFormat="1" x14ac:dyDescent="0.35"/>
    <row r="4596" customFormat="1" x14ac:dyDescent="0.35"/>
    <row r="4597" customFormat="1" x14ac:dyDescent="0.35"/>
    <row r="4598" customFormat="1" x14ac:dyDescent="0.35"/>
    <row r="4599" customFormat="1" x14ac:dyDescent="0.35"/>
    <row r="4600" customFormat="1" x14ac:dyDescent="0.35"/>
    <row r="4601" customFormat="1" x14ac:dyDescent="0.35"/>
    <row r="4602" customFormat="1" x14ac:dyDescent="0.35"/>
    <row r="4603" customFormat="1" x14ac:dyDescent="0.35"/>
    <row r="4604" customFormat="1" x14ac:dyDescent="0.35"/>
    <row r="4605" customFormat="1" x14ac:dyDescent="0.35"/>
    <row r="4606" customFormat="1" x14ac:dyDescent="0.35"/>
    <row r="4607" customFormat="1" x14ac:dyDescent="0.35"/>
    <row r="4608" customFormat="1" x14ac:dyDescent="0.35"/>
    <row r="4609" customFormat="1" x14ac:dyDescent="0.35"/>
    <row r="4610" customFormat="1" x14ac:dyDescent="0.35"/>
    <row r="4611" customFormat="1" x14ac:dyDescent="0.35"/>
    <row r="4612" customFormat="1" x14ac:dyDescent="0.35"/>
    <row r="4613" customFormat="1" x14ac:dyDescent="0.35"/>
    <row r="4614" customFormat="1" x14ac:dyDescent="0.35"/>
    <row r="4615" customFormat="1" x14ac:dyDescent="0.35"/>
    <row r="4616" customFormat="1" x14ac:dyDescent="0.35"/>
    <row r="4617" customFormat="1" x14ac:dyDescent="0.35"/>
    <row r="4618" customFormat="1" x14ac:dyDescent="0.35"/>
    <row r="4619" customFormat="1" x14ac:dyDescent="0.35"/>
    <row r="4620" customFormat="1" x14ac:dyDescent="0.35"/>
    <row r="4621" customFormat="1" x14ac:dyDescent="0.35"/>
    <row r="4622" customFormat="1" x14ac:dyDescent="0.35"/>
    <row r="4623" customFormat="1" x14ac:dyDescent="0.35"/>
    <row r="4624" customFormat="1" x14ac:dyDescent="0.35"/>
    <row r="4625" customFormat="1" x14ac:dyDescent="0.35"/>
    <row r="4626" customFormat="1" x14ac:dyDescent="0.35"/>
    <row r="4627" customFormat="1" x14ac:dyDescent="0.35"/>
    <row r="4628" customFormat="1" x14ac:dyDescent="0.35"/>
    <row r="4629" customFormat="1" x14ac:dyDescent="0.35"/>
    <row r="4630" customFormat="1" x14ac:dyDescent="0.35"/>
    <row r="4631" customFormat="1" x14ac:dyDescent="0.35"/>
    <row r="4632" customFormat="1" x14ac:dyDescent="0.35"/>
    <row r="4633" customFormat="1" x14ac:dyDescent="0.35"/>
    <row r="4634" customFormat="1" x14ac:dyDescent="0.35"/>
    <row r="4635" customFormat="1" x14ac:dyDescent="0.35"/>
    <row r="4636" customFormat="1" x14ac:dyDescent="0.35"/>
    <row r="4637" customFormat="1" x14ac:dyDescent="0.35"/>
    <row r="4638" customFormat="1" x14ac:dyDescent="0.35"/>
    <row r="4639" customFormat="1" x14ac:dyDescent="0.35"/>
    <row r="4640" customFormat="1" x14ac:dyDescent="0.35"/>
    <row r="4641" customFormat="1" x14ac:dyDescent="0.35"/>
    <row r="4642" customFormat="1" x14ac:dyDescent="0.35"/>
    <row r="4643" customFormat="1" x14ac:dyDescent="0.35"/>
    <row r="4644" customFormat="1" x14ac:dyDescent="0.35"/>
    <row r="4645" customFormat="1" x14ac:dyDescent="0.35"/>
    <row r="4646" customFormat="1" x14ac:dyDescent="0.35"/>
    <row r="4647" customFormat="1" x14ac:dyDescent="0.35"/>
    <row r="4648" customFormat="1" x14ac:dyDescent="0.35"/>
    <row r="4649" customFormat="1" x14ac:dyDescent="0.35"/>
    <row r="4650" customFormat="1" x14ac:dyDescent="0.35"/>
    <row r="4651" customFormat="1" x14ac:dyDescent="0.35"/>
    <row r="4652" customFormat="1" x14ac:dyDescent="0.35"/>
    <row r="4653" customFormat="1" x14ac:dyDescent="0.35"/>
    <row r="4654" customFormat="1" x14ac:dyDescent="0.35"/>
    <row r="4655" customFormat="1" x14ac:dyDescent="0.35"/>
    <row r="4656" customFormat="1" x14ac:dyDescent="0.35"/>
    <row r="4657" customFormat="1" x14ac:dyDescent="0.35"/>
    <row r="4658" customFormat="1" x14ac:dyDescent="0.35"/>
    <row r="4659" customFormat="1" x14ac:dyDescent="0.35"/>
    <row r="4660" customFormat="1" x14ac:dyDescent="0.35"/>
    <row r="4661" customFormat="1" x14ac:dyDescent="0.35"/>
    <row r="4662" customFormat="1" x14ac:dyDescent="0.35"/>
    <row r="4663" customFormat="1" x14ac:dyDescent="0.35"/>
    <row r="4664" customFormat="1" x14ac:dyDescent="0.35"/>
    <row r="4665" customFormat="1" x14ac:dyDescent="0.35"/>
    <row r="4666" customFormat="1" x14ac:dyDescent="0.35"/>
    <row r="4667" customFormat="1" x14ac:dyDescent="0.35"/>
    <row r="4668" customFormat="1" x14ac:dyDescent="0.35"/>
    <row r="4669" customFormat="1" x14ac:dyDescent="0.35"/>
    <row r="4670" customFormat="1" x14ac:dyDescent="0.35"/>
    <row r="4671" customFormat="1" x14ac:dyDescent="0.35"/>
    <row r="4672" customFormat="1" x14ac:dyDescent="0.35"/>
    <row r="4673" customFormat="1" x14ac:dyDescent="0.35"/>
    <row r="4674" customFormat="1" x14ac:dyDescent="0.35"/>
    <row r="4675" customFormat="1" x14ac:dyDescent="0.35"/>
    <row r="4676" customFormat="1" x14ac:dyDescent="0.35"/>
    <row r="4677" customFormat="1" x14ac:dyDescent="0.35"/>
    <row r="4678" customFormat="1" x14ac:dyDescent="0.35"/>
    <row r="4679" customFormat="1" x14ac:dyDescent="0.35"/>
    <row r="4680" customFormat="1" x14ac:dyDescent="0.35"/>
    <row r="4681" customFormat="1" x14ac:dyDescent="0.35"/>
    <row r="4682" customFormat="1" x14ac:dyDescent="0.35"/>
    <row r="4683" customFormat="1" x14ac:dyDescent="0.35"/>
    <row r="4684" customFormat="1" x14ac:dyDescent="0.35"/>
    <row r="4685" customFormat="1" x14ac:dyDescent="0.35"/>
    <row r="4686" customFormat="1" x14ac:dyDescent="0.35"/>
    <row r="4687" customFormat="1" x14ac:dyDescent="0.35"/>
    <row r="4688" customFormat="1" x14ac:dyDescent="0.35"/>
    <row r="4689" customFormat="1" x14ac:dyDescent="0.35"/>
    <row r="4690" customFormat="1" x14ac:dyDescent="0.35"/>
    <row r="4691" customFormat="1" x14ac:dyDescent="0.35"/>
    <row r="4692" customFormat="1" x14ac:dyDescent="0.35"/>
    <row r="4693" customFormat="1" x14ac:dyDescent="0.35"/>
    <row r="4694" customFormat="1" x14ac:dyDescent="0.35"/>
    <row r="4695" customFormat="1" x14ac:dyDescent="0.35"/>
    <row r="4696" customFormat="1" x14ac:dyDescent="0.35"/>
    <row r="4697" customFormat="1" x14ac:dyDescent="0.35"/>
    <row r="4698" customFormat="1" x14ac:dyDescent="0.35"/>
    <row r="4699" customFormat="1" x14ac:dyDescent="0.35"/>
    <row r="4700" customFormat="1" x14ac:dyDescent="0.35"/>
    <row r="4701" customFormat="1" x14ac:dyDescent="0.35"/>
    <row r="4702" customFormat="1" x14ac:dyDescent="0.35"/>
    <row r="4703" customFormat="1" x14ac:dyDescent="0.35"/>
    <row r="4704" customFormat="1" x14ac:dyDescent="0.35"/>
    <row r="4705" customFormat="1" x14ac:dyDescent="0.35"/>
    <row r="4706" customFormat="1" x14ac:dyDescent="0.35"/>
    <row r="4707" customFormat="1" x14ac:dyDescent="0.35"/>
    <row r="4708" customFormat="1" x14ac:dyDescent="0.35"/>
    <row r="4709" customFormat="1" x14ac:dyDescent="0.35"/>
    <row r="4710" customFormat="1" x14ac:dyDescent="0.35"/>
    <row r="4711" customFormat="1" x14ac:dyDescent="0.35"/>
    <row r="4712" customFormat="1" x14ac:dyDescent="0.35"/>
    <row r="4713" customFormat="1" x14ac:dyDescent="0.35"/>
    <row r="4714" customFormat="1" x14ac:dyDescent="0.35"/>
    <row r="4715" customFormat="1" x14ac:dyDescent="0.35"/>
    <row r="4716" customFormat="1" x14ac:dyDescent="0.35"/>
    <row r="4717" customFormat="1" x14ac:dyDescent="0.35"/>
    <row r="4718" customFormat="1" x14ac:dyDescent="0.35"/>
    <row r="4719" customFormat="1" x14ac:dyDescent="0.35"/>
    <row r="4720" customFormat="1" x14ac:dyDescent="0.35"/>
    <row r="4721" customFormat="1" x14ac:dyDescent="0.35"/>
    <row r="4722" customFormat="1" x14ac:dyDescent="0.35"/>
    <row r="4723" customFormat="1" x14ac:dyDescent="0.35"/>
    <row r="4724" customFormat="1" x14ac:dyDescent="0.35"/>
    <row r="4725" customFormat="1" x14ac:dyDescent="0.35"/>
    <row r="4726" customFormat="1" x14ac:dyDescent="0.35"/>
    <row r="4727" customFormat="1" x14ac:dyDescent="0.35"/>
    <row r="4728" customFormat="1" x14ac:dyDescent="0.35"/>
    <row r="4729" customFormat="1" x14ac:dyDescent="0.35"/>
    <row r="4730" customFormat="1" x14ac:dyDescent="0.35"/>
    <row r="4731" customFormat="1" x14ac:dyDescent="0.35"/>
    <row r="4732" customFormat="1" x14ac:dyDescent="0.35"/>
    <row r="4733" customFormat="1" x14ac:dyDescent="0.35"/>
    <row r="4734" customFormat="1" x14ac:dyDescent="0.35"/>
    <row r="4735" customFormat="1" x14ac:dyDescent="0.35"/>
    <row r="4736" customFormat="1" x14ac:dyDescent="0.35"/>
    <row r="4737" customFormat="1" x14ac:dyDescent="0.35"/>
    <row r="4738" customFormat="1" x14ac:dyDescent="0.35"/>
    <row r="4739" customFormat="1" x14ac:dyDescent="0.35"/>
    <row r="4740" customFormat="1" x14ac:dyDescent="0.35"/>
    <row r="4741" customFormat="1" x14ac:dyDescent="0.35"/>
    <row r="4742" customFormat="1" x14ac:dyDescent="0.35"/>
    <row r="4743" customFormat="1" x14ac:dyDescent="0.35"/>
    <row r="4744" customFormat="1" x14ac:dyDescent="0.35"/>
    <row r="4745" customFormat="1" x14ac:dyDescent="0.35"/>
    <row r="4746" customFormat="1" x14ac:dyDescent="0.35"/>
    <row r="4747" customFormat="1" x14ac:dyDescent="0.35"/>
    <row r="4748" customFormat="1" x14ac:dyDescent="0.35"/>
    <row r="4749" customFormat="1" x14ac:dyDescent="0.35"/>
    <row r="4750" customFormat="1" x14ac:dyDescent="0.35"/>
    <row r="4751" customFormat="1" x14ac:dyDescent="0.35"/>
    <row r="4752" customFormat="1" x14ac:dyDescent="0.35"/>
    <row r="4753" customFormat="1" x14ac:dyDescent="0.35"/>
    <row r="4754" customFormat="1" x14ac:dyDescent="0.35"/>
    <row r="4755" customFormat="1" x14ac:dyDescent="0.35"/>
    <row r="4756" customFormat="1" x14ac:dyDescent="0.35"/>
    <row r="4757" customFormat="1" x14ac:dyDescent="0.35"/>
    <row r="4758" customFormat="1" x14ac:dyDescent="0.35"/>
    <row r="4759" customFormat="1" x14ac:dyDescent="0.35"/>
    <row r="4760" customFormat="1" x14ac:dyDescent="0.35"/>
    <row r="4761" customFormat="1" x14ac:dyDescent="0.35"/>
    <row r="4762" customFormat="1" x14ac:dyDescent="0.35"/>
    <row r="4763" customFormat="1" x14ac:dyDescent="0.35"/>
    <row r="4764" customFormat="1" x14ac:dyDescent="0.35"/>
    <row r="4765" customFormat="1" x14ac:dyDescent="0.35"/>
    <row r="4766" customFormat="1" x14ac:dyDescent="0.35"/>
    <row r="4767" customFormat="1" x14ac:dyDescent="0.35"/>
    <row r="4768" customFormat="1" x14ac:dyDescent="0.35"/>
    <row r="4769" customFormat="1" x14ac:dyDescent="0.35"/>
    <row r="4770" customFormat="1" x14ac:dyDescent="0.35"/>
    <row r="4771" customFormat="1" x14ac:dyDescent="0.35"/>
    <row r="4772" customFormat="1" x14ac:dyDescent="0.35"/>
    <row r="4773" customFormat="1" x14ac:dyDescent="0.35"/>
    <row r="4774" customFormat="1" x14ac:dyDescent="0.35"/>
    <row r="4775" customFormat="1" x14ac:dyDescent="0.35"/>
    <row r="4776" customFormat="1" x14ac:dyDescent="0.35"/>
    <row r="4777" customFormat="1" x14ac:dyDescent="0.35"/>
    <row r="4778" customFormat="1" x14ac:dyDescent="0.35"/>
    <row r="4779" customFormat="1" x14ac:dyDescent="0.35"/>
    <row r="4780" customFormat="1" x14ac:dyDescent="0.35"/>
    <row r="4781" customFormat="1" x14ac:dyDescent="0.35"/>
    <row r="4782" customFormat="1" x14ac:dyDescent="0.35"/>
    <row r="4783" customFormat="1" x14ac:dyDescent="0.35"/>
    <row r="4784" customFormat="1" x14ac:dyDescent="0.35"/>
    <row r="4785" customFormat="1" x14ac:dyDescent="0.35"/>
    <row r="4786" customFormat="1" x14ac:dyDescent="0.35"/>
    <row r="4787" customFormat="1" x14ac:dyDescent="0.35"/>
    <row r="4788" customFormat="1" x14ac:dyDescent="0.35"/>
    <row r="4789" customFormat="1" x14ac:dyDescent="0.35"/>
    <row r="4790" customFormat="1" x14ac:dyDescent="0.35"/>
    <row r="4791" customFormat="1" x14ac:dyDescent="0.35"/>
    <row r="4792" customFormat="1" x14ac:dyDescent="0.35"/>
    <row r="4793" customFormat="1" x14ac:dyDescent="0.35"/>
    <row r="4794" customFormat="1" x14ac:dyDescent="0.35"/>
    <row r="4795" customFormat="1" x14ac:dyDescent="0.35"/>
    <row r="4796" customFormat="1" x14ac:dyDescent="0.35"/>
    <row r="4797" customFormat="1" x14ac:dyDescent="0.35"/>
    <row r="4798" customFormat="1" x14ac:dyDescent="0.35"/>
    <row r="4799" customFormat="1" x14ac:dyDescent="0.35"/>
    <row r="4800" customFormat="1" x14ac:dyDescent="0.35"/>
    <row r="4801" customFormat="1" x14ac:dyDescent="0.35"/>
    <row r="4802" customFormat="1" x14ac:dyDescent="0.35"/>
    <row r="4803" customFormat="1" x14ac:dyDescent="0.35"/>
    <row r="4804" customFormat="1" x14ac:dyDescent="0.35"/>
    <row r="4805" customFormat="1" x14ac:dyDescent="0.35"/>
    <row r="4806" customFormat="1" x14ac:dyDescent="0.35"/>
    <row r="4807" customFormat="1" x14ac:dyDescent="0.35"/>
    <row r="4808" customFormat="1" x14ac:dyDescent="0.35"/>
    <row r="4809" customFormat="1" x14ac:dyDescent="0.35"/>
    <row r="4810" customFormat="1" x14ac:dyDescent="0.35"/>
    <row r="4811" customFormat="1" x14ac:dyDescent="0.35"/>
    <row r="4812" customFormat="1" x14ac:dyDescent="0.35"/>
    <row r="4813" customFormat="1" x14ac:dyDescent="0.35"/>
    <row r="4814" customFormat="1" x14ac:dyDescent="0.35"/>
    <row r="4815" customFormat="1" x14ac:dyDescent="0.35"/>
    <row r="4816" customFormat="1" x14ac:dyDescent="0.35"/>
    <row r="4817" customFormat="1" x14ac:dyDescent="0.35"/>
    <row r="4818" customFormat="1" x14ac:dyDescent="0.35"/>
    <row r="4819" customFormat="1" x14ac:dyDescent="0.35"/>
    <row r="4820" customFormat="1" x14ac:dyDescent="0.35"/>
    <row r="4821" customFormat="1" x14ac:dyDescent="0.35"/>
    <row r="4822" customFormat="1" x14ac:dyDescent="0.35"/>
    <row r="4823" customFormat="1" x14ac:dyDescent="0.35"/>
    <row r="4824" customFormat="1" x14ac:dyDescent="0.35"/>
    <row r="4825" customFormat="1" x14ac:dyDescent="0.35"/>
    <row r="4826" customFormat="1" x14ac:dyDescent="0.35"/>
    <row r="4827" customFormat="1" x14ac:dyDescent="0.35"/>
    <row r="4828" customFormat="1" x14ac:dyDescent="0.35"/>
    <row r="4829" customFormat="1" x14ac:dyDescent="0.35"/>
    <row r="4830" customFormat="1" x14ac:dyDescent="0.35"/>
    <row r="4831" customFormat="1" x14ac:dyDescent="0.35"/>
    <row r="4832" customFormat="1" x14ac:dyDescent="0.35"/>
    <row r="4833" customFormat="1" x14ac:dyDescent="0.35"/>
    <row r="4834" customFormat="1" x14ac:dyDescent="0.35"/>
    <row r="4835" customFormat="1" x14ac:dyDescent="0.35"/>
    <row r="4836" customFormat="1" x14ac:dyDescent="0.35"/>
    <row r="4837" customFormat="1" x14ac:dyDescent="0.35"/>
    <row r="4838" customFormat="1" x14ac:dyDescent="0.35"/>
    <row r="4839" customFormat="1" x14ac:dyDescent="0.35"/>
    <row r="4840" customFormat="1" x14ac:dyDescent="0.35"/>
    <row r="4841" customFormat="1" x14ac:dyDescent="0.35"/>
    <row r="4842" customFormat="1" x14ac:dyDescent="0.35"/>
    <row r="4843" customFormat="1" x14ac:dyDescent="0.35"/>
    <row r="4844" customFormat="1" x14ac:dyDescent="0.35"/>
    <row r="4845" customFormat="1" x14ac:dyDescent="0.35"/>
    <row r="4846" customFormat="1" x14ac:dyDescent="0.35"/>
    <row r="4847" customFormat="1" x14ac:dyDescent="0.35"/>
    <row r="4848" customFormat="1" x14ac:dyDescent="0.35"/>
    <row r="4849" customFormat="1" x14ac:dyDescent="0.35"/>
    <row r="4850" customFormat="1" x14ac:dyDescent="0.35"/>
    <row r="4851" customFormat="1" x14ac:dyDescent="0.35"/>
    <row r="4852" customFormat="1" x14ac:dyDescent="0.35"/>
    <row r="4853" customFormat="1" x14ac:dyDescent="0.35"/>
    <row r="4854" customFormat="1" x14ac:dyDescent="0.35"/>
    <row r="4855" customFormat="1" x14ac:dyDescent="0.35"/>
    <row r="4856" customFormat="1" x14ac:dyDescent="0.35"/>
    <row r="4857" customFormat="1" x14ac:dyDescent="0.35"/>
    <row r="4858" customFormat="1" x14ac:dyDescent="0.35"/>
    <row r="4859" customFormat="1" x14ac:dyDescent="0.35"/>
    <row r="4860" customFormat="1" x14ac:dyDescent="0.35"/>
    <row r="4861" customFormat="1" x14ac:dyDescent="0.35"/>
    <row r="4862" customFormat="1" x14ac:dyDescent="0.35"/>
    <row r="4863" customFormat="1" x14ac:dyDescent="0.35"/>
    <row r="4864" customFormat="1" x14ac:dyDescent="0.35"/>
    <row r="4865" customFormat="1" x14ac:dyDescent="0.35"/>
    <row r="4866" customFormat="1" x14ac:dyDescent="0.35"/>
    <row r="4867" customFormat="1" x14ac:dyDescent="0.35"/>
    <row r="4868" customFormat="1" x14ac:dyDescent="0.35"/>
    <row r="4869" customFormat="1" x14ac:dyDescent="0.35"/>
    <row r="4870" customFormat="1" x14ac:dyDescent="0.35"/>
    <row r="4871" customFormat="1" x14ac:dyDescent="0.35"/>
    <row r="4872" customFormat="1" x14ac:dyDescent="0.35"/>
    <row r="4873" customFormat="1" x14ac:dyDescent="0.35"/>
    <row r="4874" customFormat="1" x14ac:dyDescent="0.35"/>
    <row r="4875" customFormat="1" x14ac:dyDescent="0.35"/>
    <row r="4876" customFormat="1" x14ac:dyDescent="0.35"/>
    <row r="4877" customFormat="1" x14ac:dyDescent="0.35"/>
    <row r="4878" customFormat="1" x14ac:dyDescent="0.35"/>
    <row r="4879" customFormat="1" x14ac:dyDescent="0.35"/>
    <row r="4880" customFormat="1" x14ac:dyDescent="0.35"/>
    <row r="4881" customFormat="1" x14ac:dyDescent="0.35"/>
    <row r="4882" customFormat="1" x14ac:dyDescent="0.35"/>
    <row r="4883" customFormat="1" x14ac:dyDescent="0.35"/>
    <row r="4884" customFormat="1" x14ac:dyDescent="0.35"/>
    <row r="4885" customFormat="1" x14ac:dyDescent="0.35"/>
    <row r="4886" customFormat="1" x14ac:dyDescent="0.35"/>
    <row r="4887" customFormat="1" x14ac:dyDescent="0.35"/>
    <row r="4888" customFormat="1" x14ac:dyDescent="0.35"/>
    <row r="4889" customFormat="1" x14ac:dyDescent="0.35"/>
    <row r="4890" customFormat="1" x14ac:dyDescent="0.35"/>
    <row r="4891" customFormat="1" x14ac:dyDescent="0.35"/>
    <row r="4892" customFormat="1" x14ac:dyDescent="0.35"/>
    <row r="4893" customFormat="1" x14ac:dyDescent="0.35"/>
    <row r="4894" customFormat="1" x14ac:dyDescent="0.35"/>
    <row r="4895" customFormat="1" x14ac:dyDescent="0.35"/>
    <row r="4896" customFormat="1" x14ac:dyDescent="0.35"/>
    <row r="4897" customFormat="1" x14ac:dyDescent="0.35"/>
    <row r="4898" customFormat="1" x14ac:dyDescent="0.35"/>
    <row r="4899" customFormat="1" x14ac:dyDescent="0.35"/>
    <row r="4900" customFormat="1" x14ac:dyDescent="0.35"/>
    <row r="4901" customFormat="1" x14ac:dyDescent="0.35"/>
    <row r="4902" customFormat="1" x14ac:dyDescent="0.35"/>
    <row r="4903" customFormat="1" x14ac:dyDescent="0.35"/>
    <row r="4904" customFormat="1" x14ac:dyDescent="0.35"/>
    <row r="4905" customFormat="1" x14ac:dyDescent="0.35"/>
    <row r="4906" customFormat="1" x14ac:dyDescent="0.35"/>
    <row r="4907" customFormat="1" x14ac:dyDescent="0.35"/>
    <row r="4908" customFormat="1" x14ac:dyDescent="0.35"/>
    <row r="4909" customFormat="1" x14ac:dyDescent="0.35"/>
    <row r="4910" customFormat="1" x14ac:dyDescent="0.35"/>
    <row r="4911" customFormat="1" x14ac:dyDescent="0.35"/>
    <row r="4912" customFormat="1" x14ac:dyDescent="0.35"/>
    <row r="4913" customFormat="1" x14ac:dyDescent="0.35"/>
    <row r="4914" customFormat="1" x14ac:dyDescent="0.35"/>
    <row r="4915" customFormat="1" x14ac:dyDescent="0.35"/>
    <row r="4916" customFormat="1" x14ac:dyDescent="0.35"/>
    <row r="4917" customFormat="1" x14ac:dyDescent="0.35"/>
    <row r="4918" customFormat="1" x14ac:dyDescent="0.35"/>
    <row r="4919" customFormat="1" x14ac:dyDescent="0.35"/>
    <row r="4920" customFormat="1" x14ac:dyDescent="0.35"/>
    <row r="4921" customFormat="1" x14ac:dyDescent="0.35"/>
    <row r="4922" customFormat="1" x14ac:dyDescent="0.35"/>
    <row r="4923" customFormat="1" x14ac:dyDescent="0.35"/>
    <row r="4924" customFormat="1" x14ac:dyDescent="0.35"/>
    <row r="4925" customFormat="1" x14ac:dyDescent="0.35"/>
    <row r="4926" customFormat="1" x14ac:dyDescent="0.35"/>
    <row r="4927" customFormat="1" x14ac:dyDescent="0.35"/>
    <row r="4928" customFormat="1" x14ac:dyDescent="0.35"/>
    <row r="4929" customFormat="1" x14ac:dyDescent="0.35"/>
    <row r="4930" customFormat="1" x14ac:dyDescent="0.35"/>
    <row r="4931" customFormat="1" x14ac:dyDescent="0.35"/>
    <row r="4932" customFormat="1" x14ac:dyDescent="0.35"/>
    <row r="4933" customFormat="1" x14ac:dyDescent="0.35"/>
    <row r="4934" customFormat="1" x14ac:dyDescent="0.35"/>
    <row r="4935" customFormat="1" x14ac:dyDescent="0.35"/>
    <row r="4936" customFormat="1" x14ac:dyDescent="0.35"/>
    <row r="4937" customFormat="1" x14ac:dyDescent="0.35"/>
    <row r="4938" customFormat="1" x14ac:dyDescent="0.35"/>
    <row r="4939" customFormat="1" x14ac:dyDescent="0.35"/>
    <row r="4940" customFormat="1" x14ac:dyDescent="0.35"/>
    <row r="4941" customFormat="1" x14ac:dyDescent="0.35"/>
    <row r="4942" customFormat="1" x14ac:dyDescent="0.35"/>
    <row r="4943" customFormat="1" x14ac:dyDescent="0.35"/>
    <row r="4944" customFormat="1" x14ac:dyDescent="0.35"/>
    <row r="4945" customFormat="1" x14ac:dyDescent="0.35"/>
    <row r="4946" customFormat="1" x14ac:dyDescent="0.35"/>
    <row r="4947" customFormat="1" x14ac:dyDescent="0.35"/>
    <row r="4948" customFormat="1" x14ac:dyDescent="0.35"/>
    <row r="4949" customFormat="1" x14ac:dyDescent="0.35"/>
    <row r="4950" customFormat="1" x14ac:dyDescent="0.35"/>
    <row r="4951" customFormat="1" x14ac:dyDescent="0.35"/>
    <row r="4952" customFormat="1" x14ac:dyDescent="0.35"/>
    <row r="4953" customFormat="1" x14ac:dyDescent="0.35"/>
    <row r="4954" customFormat="1" x14ac:dyDescent="0.35"/>
    <row r="4955" customFormat="1" x14ac:dyDescent="0.35"/>
    <row r="4956" customFormat="1" x14ac:dyDescent="0.35"/>
    <row r="4957" customFormat="1" x14ac:dyDescent="0.35"/>
    <row r="4958" customFormat="1" x14ac:dyDescent="0.35"/>
    <row r="4959" customFormat="1" x14ac:dyDescent="0.35"/>
    <row r="4960" customFormat="1" x14ac:dyDescent="0.35"/>
    <row r="4961" customFormat="1" x14ac:dyDescent="0.35"/>
    <row r="4962" customFormat="1" x14ac:dyDescent="0.35"/>
    <row r="4963" customFormat="1" x14ac:dyDescent="0.35"/>
    <row r="4964" customFormat="1" x14ac:dyDescent="0.35"/>
    <row r="4965" customFormat="1" x14ac:dyDescent="0.35"/>
    <row r="4966" customFormat="1" x14ac:dyDescent="0.35"/>
    <row r="4967" customFormat="1" x14ac:dyDescent="0.35"/>
    <row r="4968" customFormat="1" x14ac:dyDescent="0.35"/>
    <row r="4969" customFormat="1" x14ac:dyDescent="0.35"/>
    <row r="4970" customFormat="1" x14ac:dyDescent="0.35"/>
    <row r="4971" customFormat="1" x14ac:dyDescent="0.35"/>
    <row r="4972" customFormat="1" x14ac:dyDescent="0.35"/>
    <row r="4973" customFormat="1" x14ac:dyDescent="0.35"/>
    <row r="4974" customFormat="1" x14ac:dyDescent="0.35"/>
    <row r="4975" customFormat="1" x14ac:dyDescent="0.35"/>
    <row r="4976" customFormat="1" x14ac:dyDescent="0.35"/>
    <row r="4977" customFormat="1" x14ac:dyDescent="0.35"/>
    <row r="4978" customFormat="1" x14ac:dyDescent="0.35"/>
    <row r="4979" customFormat="1" x14ac:dyDescent="0.35"/>
    <row r="4980" customFormat="1" x14ac:dyDescent="0.35"/>
    <row r="4981" customFormat="1" x14ac:dyDescent="0.35"/>
    <row r="4982" customFormat="1" x14ac:dyDescent="0.35"/>
    <row r="4983" customFormat="1" x14ac:dyDescent="0.35"/>
    <row r="4984" customFormat="1" x14ac:dyDescent="0.35"/>
    <row r="4985" customFormat="1" x14ac:dyDescent="0.35"/>
    <row r="4986" customFormat="1" x14ac:dyDescent="0.35"/>
    <row r="4987" customFormat="1" x14ac:dyDescent="0.35"/>
    <row r="4988" customFormat="1" x14ac:dyDescent="0.35"/>
    <row r="4989" customFormat="1" x14ac:dyDescent="0.35"/>
    <row r="4990" customFormat="1" x14ac:dyDescent="0.35"/>
    <row r="4991" customFormat="1" x14ac:dyDescent="0.35"/>
    <row r="4992" customFormat="1" x14ac:dyDescent="0.35"/>
    <row r="4993" customFormat="1" x14ac:dyDescent="0.35"/>
    <row r="4994" customFormat="1" x14ac:dyDescent="0.35"/>
    <row r="4995" customFormat="1" x14ac:dyDescent="0.35"/>
    <row r="4996" customFormat="1" x14ac:dyDescent="0.35"/>
    <row r="4997" customFormat="1" x14ac:dyDescent="0.35"/>
    <row r="4998" customFormat="1" x14ac:dyDescent="0.35"/>
    <row r="4999" customFormat="1" x14ac:dyDescent="0.35"/>
    <row r="5000" customFormat="1" x14ac:dyDescent="0.35"/>
    <row r="5001" customFormat="1" x14ac:dyDescent="0.35"/>
    <row r="5002" customFormat="1" x14ac:dyDescent="0.35"/>
    <row r="5003" customFormat="1" x14ac:dyDescent="0.35"/>
    <row r="5004" customFormat="1" x14ac:dyDescent="0.35"/>
    <row r="5005" customFormat="1" x14ac:dyDescent="0.35"/>
    <row r="5006" customFormat="1" x14ac:dyDescent="0.35"/>
    <row r="5007" customFormat="1" x14ac:dyDescent="0.35"/>
    <row r="5008" customFormat="1" x14ac:dyDescent="0.35"/>
    <row r="5009" customFormat="1" x14ac:dyDescent="0.35"/>
    <row r="5010" customFormat="1" x14ac:dyDescent="0.35"/>
    <row r="5011" customFormat="1" x14ac:dyDescent="0.35"/>
    <row r="5012" customFormat="1" x14ac:dyDescent="0.35"/>
    <row r="5013" customFormat="1" x14ac:dyDescent="0.35"/>
    <row r="5014" customFormat="1" x14ac:dyDescent="0.35"/>
    <row r="5015" customFormat="1" x14ac:dyDescent="0.35"/>
    <row r="5016" customFormat="1" x14ac:dyDescent="0.35"/>
    <row r="5017" customFormat="1" x14ac:dyDescent="0.35"/>
    <row r="5018" customFormat="1" x14ac:dyDescent="0.35"/>
    <row r="5019" customFormat="1" x14ac:dyDescent="0.35"/>
    <row r="5020" customFormat="1" x14ac:dyDescent="0.35"/>
    <row r="5021" customFormat="1" x14ac:dyDescent="0.35"/>
    <row r="5022" customFormat="1" x14ac:dyDescent="0.35"/>
    <row r="5023" customFormat="1" x14ac:dyDescent="0.35"/>
    <row r="5024" customFormat="1" x14ac:dyDescent="0.35"/>
    <row r="5025" customFormat="1" x14ac:dyDescent="0.35"/>
    <row r="5026" customFormat="1" x14ac:dyDescent="0.35"/>
    <row r="5027" customFormat="1" x14ac:dyDescent="0.35"/>
    <row r="5028" customFormat="1" x14ac:dyDescent="0.35"/>
    <row r="5029" customFormat="1" x14ac:dyDescent="0.35"/>
    <row r="5030" customFormat="1" x14ac:dyDescent="0.35"/>
    <row r="5031" customFormat="1" x14ac:dyDescent="0.35"/>
    <row r="5032" customFormat="1" x14ac:dyDescent="0.35"/>
    <row r="5033" customFormat="1" x14ac:dyDescent="0.35"/>
    <row r="5034" customFormat="1" x14ac:dyDescent="0.35"/>
    <row r="5035" customFormat="1" x14ac:dyDescent="0.35"/>
    <row r="5036" customFormat="1" x14ac:dyDescent="0.35"/>
    <row r="5037" customFormat="1" x14ac:dyDescent="0.35"/>
    <row r="5038" customFormat="1" x14ac:dyDescent="0.35"/>
    <row r="5039" customFormat="1" x14ac:dyDescent="0.35"/>
    <row r="5040" customFormat="1" x14ac:dyDescent="0.35"/>
    <row r="5041" customFormat="1" x14ac:dyDescent="0.35"/>
    <row r="5042" customFormat="1" x14ac:dyDescent="0.35"/>
    <row r="5043" customFormat="1" x14ac:dyDescent="0.35"/>
    <row r="5044" customFormat="1" x14ac:dyDescent="0.35"/>
    <row r="5045" customFormat="1" x14ac:dyDescent="0.35"/>
    <row r="5046" customFormat="1" x14ac:dyDescent="0.35"/>
    <row r="5047" customFormat="1" x14ac:dyDescent="0.35"/>
    <row r="5048" customFormat="1" x14ac:dyDescent="0.35"/>
    <row r="5049" customFormat="1" x14ac:dyDescent="0.35"/>
    <row r="5050" customFormat="1" x14ac:dyDescent="0.35"/>
    <row r="5051" customFormat="1" x14ac:dyDescent="0.35"/>
    <row r="5052" customFormat="1" x14ac:dyDescent="0.35"/>
    <row r="5053" customFormat="1" x14ac:dyDescent="0.35"/>
    <row r="5054" customFormat="1" x14ac:dyDescent="0.35"/>
    <row r="5055" customFormat="1" x14ac:dyDescent="0.35"/>
    <row r="5056" customFormat="1" x14ac:dyDescent="0.35"/>
    <row r="5057" customFormat="1" x14ac:dyDescent="0.35"/>
    <row r="5058" customFormat="1" x14ac:dyDescent="0.35"/>
    <row r="5059" customFormat="1" x14ac:dyDescent="0.35"/>
    <row r="5060" customFormat="1" x14ac:dyDescent="0.35"/>
    <row r="5061" customFormat="1" x14ac:dyDescent="0.35"/>
    <row r="5062" customFormat="1" x14ac:dyDescent="0.35"/>
    <row r="5063" customFormat="1" x14ac:dyDescent="0.35"/>
    <row r="5064" customFormat="1" x14ac:dyDescent="0.35"/>
    <row r="5065" customFormat="1" x14ac:dyDescent="0.35"/>
    <row r="5066" customFormat="1" x14ac:dyDescent="0.35"/>
    <row r="5067" customFormat="1" x14ac:dyDescent="0.35"/>
    <row r="5068" customFormat="1" x14ac:dyDescent="0.35"/>
    <row r="5069" customFormat="1" x14ac:dyDescent="0.35"/>
    <row r="5070" customFormat="1" x14ac:dyDescent="0.35"/>
    <row r="5071" customFormat="1" x14ac:dyDescent="0.35"/>
    <row r="5072" customFormat="1" x14ac:dyDescent="0.35"/>
    <row r="5073" customFormat="1" x14ac:dyDescent="0.35"/>
    <row r="5074" customFormat="1" x14ac:dyDescent="0.35"/>
    <row r="5075" customFormat="1" x14ac:dyDescent="0.35"/>
    <row r="5076" customFormat="1" x14ac:dyDescent="0.35"/>
    <row r="5077" customFormat="1" x14ac:dyDescent="0.35"/>
    <row r="5078" customFormat="1" x14ac:dyDescent="0.35"/>
    <row r="5079" customFormat="1" x14ac:dyDescent="0.35"/>
    <row r="5080" customFormat="1" x14ac:dyDescent="0.35"/>
    <row r="5081" customFormat="1" x14ac:dyDescent="0.35"/>
    <row r="5082" customFormat="1" x14ac:dyDescent="0.35"/>
    <row r="5083" customFormat="1" x14ac:dyDescent="0.35"/>
    <row r="5084" customFormat="1" x14ac:dyDescent="0.35"/>
    <row r="5085" customFormat="1" x14ac:dyDescent="0.35"/>
    <row r="5086" customFormat="1" x14ac:dyDescent="0.35"/>
    <row r="5087" customFormat="1" x14ac:dyDescent="0.35"/>
    <row r="5088" customFormat="1" x14ac:dyDescent="0.35"/>
    <row r="5089" customFormat="1" x14ac:dyDescent="0.35"/>
    <row r="5090" customFormat="1" x14ac:dyDescent="0.35"/>
    <row r="5091" customFormat="1" x14ac:dyDescent="0.35"/>
    <row r="5092" customFormat="1" x14ac:dyDescent="0.35"/>
    <row r="5093" customFormat="1" x14ac:dyDescent="0.35"/>
    <row r="5094" customFormat="1" x14ac:dyDescent="0.35"/>
    <row r="5095" customFormat="1" x14ac:dyDescent="0.35"/>
    <row r="5096" customFormat="1" x14ac:dyDescent="0.35"/>
    <row r="5097" customFormat="1" x14ac:dyDescent="0.35"/>
    <row r="5098" customFormat="1" x14ac:dyDescent="0.35"/>
    <row r="5099" customFormat="1" x14ac:dyDescent="0.35"/>
    <row r="5100" customFormat="1" x14ac:dyDescent="0.35"/>
    <row r="5101" customFormat="1" x14ac:dyDescent="0.35"/>
    <row r="5102" customFormat="1" x14ac:dyDescent="0.35"/>
    <row r="5103" customFormat="1" x14ac:dyDescent="0.35"/>
    <row r="5104" customFormat="1" x14ac:dyDescent="0.35"/>
    <row r="5105" customFormat="1" x14ac:dyDescent="0.35"/>
    <row r="5106" customFormat="1" x14ac:dyDescent="0.35"/>
    <row r="5107" customFormat="1" x14ac:dyDescent="0.35"/>
    <row r="5108" customFormat="1" x14ac:dyDescent="0.35"/>
    <row r="5109" customFormat="1" x14ac:dyDescent="0.35"/>
    <row r="5110" customFormat="1" x14ac:dyDescent="0.35"/>
    <row r="5111" customFormat="1" x14ac:dyDescent="0.35"/>
    <row r="5112" customFormat="1" x14ac:dyDescent="0.35"/>
    <row r="5113" customFormat="1" x14ac:dyDescent="0.35"/>
    <row r="5114" customFormat="1" x14ac:dyDescent="0.35"/>
    <row r="5115" customFormat="1" x14ac:dyDescent="0.35"/>
    <row r="5116" customFormat="1" x14ac:dyDescent="0.35"/>
    <row r="5117" customFormat="1" x14ac:dyDescent="0.35"/>
    <row r="5118" customFormat="1" x14ac:dyDescent="0.35"/>
    <row r="5119" customFormat="1" x14ac:dyDescent="0.35"/>
    <row r="5120" customFormat="1" x14ac:dyDescent="0.35"/>
    <row r="5121" customFormat="1" x14ac:dyDescent="0.35"/>
    <row r="5122" customFormat="1" x14ac:dyDescent="0.35"/>
    <row r="5123" customFormat="1" x14ac:dyDescent="0.35"/>
    <row r="5124" customFormat="1" x14ac:dyDescent="0.35"/>
    <row r="5125" customFormat="1" x14ac:dyDescent="0.35"/>
    <row r="5126" customFormat="1" x14ac:dyDescent="0.35"/>
    <row r="5127" customFormat="1" x14ac:dyDescent="0.35"/>
    <row r="5128" customFormat="1" x14ac:dyDescent="0.35"/>
    <row r="5129" customFormat="1" x14ac:dyDescent="0.35"/>
    <row r="5130" customFormat="1" x14ac:dyDescent="0.35"/>
    <row r="5131" customFormat="1" x14ac:dyDescent="0.35"/>
    <row r="5132" customFormat="1" x14ac:dyDescent="0.35"/>
    <row r="5133" customFormat="1" x14ac:dyDescent="0.35"/>
    <row r="5134" customFormat="1" x14ac:dyDescent="0.35"/>
    <row r="5135" customFormat="1" x14ac:dyDescent="0.35"/>
    <row r="5136" customFormat="1" x14ac:dyDescent="0.35"/>
    <row r="5137" customFormat="1" x14ac:dyDescent="0.35"/>
    <row r="5138" customFormat="1" x14ac:dyDescent="0.35"/>
    <row r="5139" customFormat="1" x14ac:dyDescent="0.35"/>
    <row r="5140" customFormat="1" x14ac:dyDescent="0.35"/>
    <row r="5141" customFormat="1" x14ac:dyDescent="0.35"/>
    <row r="5142" customFormat="1" x14ac:dyDescent="0.35"/>
    <row r="5143" customFormat="1" x14ac:dyDescent="0.35"/>
    <row r="5144" customFormat="1" x14ac:dyDescent="0.35"/>
    <row r="5145" customFormat="1" x14ac:dyDescent="0.35"/>
    <row r="5146" customFormat="1" x14ac:dyDescent="0.35"/>
    <row r="5147" customFormat="1" x14ac:dyDescent="0.35"/>
    <row r="5148" customFormat="1" x14ac:dyDescent="0.35"/>
    <row r="5149" customFormat="1" x14ac:dyDescent="0.35"/>
    <row r="5150" customFormat="1" x14ac:dyDescent="0.35"/>
    <row r="5151" customFormat="1" x14ac:dyDescent="0.35"/>
    <row r="5152" customFormat="1" x14ac:dyDescent="0.35"/>
    <row r="5153" customFormat="1" x14ac:dyDescent="0.35"/>
    <row r="5154" customFormat="1" x14ac:dyDescent="0.35"/>
    <row r="5155" customFormat="1" x14ac:dyDescent="0.35"/>
    <row r="5156" customFormat="1" x14ac:dyDescent="0.35"/>
    <row r="5157" customFormat="1" x14ac:dyDescent="0.35"/>
    <row r="5158" customFormat="1" x14ac:dyDescent="0.35"/>
    <row r="5159" customFormat="1" x14ac:dyDescent="0.35"/>
    <row r="5160" customFormat="1" x14ac:dyDescent="0.35"/>
    <row r="5161" customFormat="1" x14ac:dyDescent="0.35"/>
    <row r="5162" customFormat="1" x14ac:dyDescent="0.35"/>
    <row r="5163" customFormat="1" x14ac:dyDescent="0.35"/>
    <row r="5164" customFormat="1" x14ac:dyDescent="0.35"/>
    <row r="5165" customFormat="1" x14ac:dyDescent="0.35"/>
    <row r="5166" customFormat="1" x14ac:dyDescent="0.35"/>
    <row r="5167" customFormat="1" x14ac:dyDescent="0.35"/>
    <row r="5168" customFormat="1" x14ac:dyDescent="0.35"/>
    <row r="5169" customFormat="1" x14ac:dyDescent="0.35"/>
    <row r="5170" customFormat="1" x14ac:dyDescent="0.35"/>
    <row r="5171" customFormat="1" x14ac:dyDescent="0.35"/>
    <row r="5172" customFormat="1" x14ac:dyDescent="0.35"/>
    <row r="5173" customFormat="1" x14ac:dyDescent="0.35"/>
    <row r="5174" customFormat="1" x14ac:dyDescent="0.35"/>
    <row r="5175" customFormat="1" x14ac:dyDescent="0.35"/>
    <row r="5176" customFormat="1" x14ac:dyDescent="0.35"/>
    <row r="5177" customFormat="1" x14ac:dyDescent="0.35"/>
    <row r="5178" customFormat="1" x14ac:dyDescent="0.35"/>
    <row r="5179" customFormat="1" x14ac:dyDescent="0.35"/>
    <row r="5180" customFormat="1" x14ac:dyDescent="0.35"/>
    <row r="5181" customFormat="1" x14ac:dyDescent="0.35"/>
    <row r="5182" customFormat="1" x14ac:dyDescent="0.35"/>
    <row r="5183" customFormat="1" x14ac:dyDescent="0.35"/>
    <row r="5184" customFormat="1" x14ac:dyDescent="0.35"/>
    <row r="5185" customFormat="1" x14ac:dyDescent="0.35"/>
    <row r="5186" customFormat="1" x14ac:dyDescent="0.35"/>
    <row r="5187" customFormat="1" x14ac:dyDescent="0.35"/>
    <row r="5188" customFormat="1" x14ac:dyDescent="0.35"/>
    <row r="5189" customFormat="1" x14ac:dyDescent="0.35"/>
    <row r="5190" customFormat="1" x14ac:dyDescent="0.35"/>
    <row r="5191" customFormat="1" x14ac:dyDescent="0.35"/>
    <row r="5192" customFormat="1" x14ac:dyDescent="0.35"/>
    <row r="5193" customFormat="1" x14ac:dyDescent="0.35"/>
    <row r="5194" customFormat="1" x14ac:dyDescent="0.35"/>
    <row r="5195" customFormat="1" x14ac:dyDescent="0.35"/>
    <row r="5196" customFormat="1" x14ac:dyDescent="0.35"/>
    <row r="5197" customFormat="1" x14ac:dyDescent="0.35"/>
    <row r="5198" customFormat="1" x14ac:dyDescent="0.35"/>
    <row r="5199" customFormat="1" x14ac:dyDescent="0.35"/>
    <row r="5200" customFormat="1" x14ac:dyDescent="0.35"/>
    <row r="5201" customFormat="1" x14ac:dyDescent="0.35"/>
    <row r="5202" customFormat="1" x14ac:dyDescent="0.35"/>
    <row r="5203" customFormat="1" x14ac:dyDescent="0.35"/>
    <row r="5204" customFormat="1" x14ac:dyDescent="0.35"/>
    <row r="5205" customFormat="1" x14ac:dyDescent="0.35"/>
    <row r="5206" customFormat="1" x14ac:dyDescent="0.35"/>
    <row r="5207" customFormat="1" x14ac:dyDescent="0.35"/>
    <row r="5208" customFormat="1" x14ac:dyDescent="0.35"/>
    <row r="5209" customFormat="1" x14ac:dyDescent="0.35"/>
    <row r="5210" customFormat="1" x14ac:dyDescent="0.35"/>
    <row r="5211" customFormat="1" x14ac:dyDescent="0.35"/>
    <row r="5212" customFormat="1" x14ac:dyDescent="0.35"/>
    <row r="5213" customFormat="1" x14ac:dyDescent="0.35"/>
    <row r="5214" customFormat="1" x14ac:dyDescent="0.35"/>
    <row r="5215" customFormat="1" x14ac:dyDescent="0.35"/>
    <row r="5216" customFormat="1" x14ac:dyDescent="0.35"/>
    <row r="5217" customFormat="1" x14ac:dyDescent="0.35"/>
    <row r="5218" customFormat="1" x14ac:dyDescent="0.35"/>
    <row r="5219" customFormat="1" x14ac:dyDescent="0.35"/>
    <row r="5220" customFormat="1" x14ac:dyDescent="0.35"/>
    <row r="5221" customFormat="1" x14ac:dyDescent="0.35"/>
    <row r="5222" customFormat="1" x14ac:dyDescent="0.35"/>
    <row r="5223" customFormat="1" x14ac:dyDescent="0.35"/>
    <row r="5224" customFormat="1" x14ac:dyDescent="0.35"/>
    <row r="5225" customFormat="1" x14ac:dyDescent="0.35"/>
    <row r="5226" customFormat="1" x14ac:dyDescent="0.35"/>
    <row r="5227" customFormat="1" x14ac:dyDescent="0.35"/>
    <row r="5228" customFormat="1" x14ac:dyDescent="0.35"/>
    <row r="5229" customFormat="1" x14ac:dyDescent="0.35"/>
    <row r="5230" customFormat="1" x14ac:dyDescent="0.35"/>
    <row r="5231" customFormat="1" x14ac:dyDescent="0.35"/>
    <row r="5232" customFormat="1" x14ac:dyDescent="0.35"/>
    <row r="5233" customFormat="1" x14ac:dyDescent="0.35"/>
    <row r="5234" customFormat="1" x14ac:dyDescent="0.35"/>
    <row r="5235" customFormat="1" x14ac:dyDescent="0.35"/>
    <row r="5236" customFormat="1" x14ac:dyDescent="0.35"/>
    <row r="5237" customFormat="1" x14ac:dyDescent="0.35"/>
    <row r="5238" customFormat="1" x14ac:dyDescent="0.35"/>
    <row r="5239" customFormat="1" x14ac:dyDescent="0.35"/>
    <row r="5240" customFormat="1" x14ac:dyDescent="0.35"/>
    <row r="5241" customFormat="1" x14ac:dyDescent="0.35"/>
    <row r="5242" customFormat="1" x14ac:dyDescent="0.35"/>
    <row r="5243" customFormat="1" x14ac:dyDescent="0.35"/>
    <row r="5244" customFormat="1" x14ac:dyDescent="0.35"/>
    <row r="5245" customFormat="1" x14ac:dyDescent="0.35"/>
    <row r="5246" customFormat="1" x14ac:dyDescent="0.35"/>
    <row r="5247" customFormat="1" x14ac:dyDescent="0.35"/>
    <row r="5248" customFormat="1" x14ac:dyDescent="0.35"/>
    <row r="5249" customFormat="1" x14ac:dyDescent="0.35"/>
    <row r="5250" customFormat="1" x14ac:dyDescent="0.35"/>
    <row r="5251" customFormat="1" x14ac:dyDescent="0.35"/>
    <row r="5252" customFormat="1" x14ac:dyDescent="0.35"/>
    <row r="5253" customFormat="1" x14ac:dyDescent="0.35"/>
    <row r="5254" customFormat="1" x14ac:dyDescent="0.35"/>
    <row r="5255" customFormat="1" x14ac:dyDescent="0.35"/>
    <row r="5256" customFormat="1" x14ac:dyDescent="0.35"/>
    <row r="5257" customFormat="1" x14ac:dyDescent="0.35"/>
    <row r="5258" customFormat="1" x14ac:dyDescent="0.35"/>
    <row r="5259" customFormat="1" x14ac:dyDescent="0.35"/>
    <row r="5260" customFormat="1" x14ac:dyDescent="0.35"/>
    <row r="5261" customFormat="1" x14ac:dyDescent="0.35"/>
    <row r="5262" customFormat="1" x14ac:dyDescent="0.35"/>
    <row r="5263" customFormat="1" x14ac:dyDescent="0.35"/>
    <row r="5264" customFormat="1" x14ac:dyDescent="0.35"/>
    <row r="5265" customFormat="1" x14ac:dyDescent="0.35"/>
    <row r="5266" customFormat="1" x14ac:dyDescent="0.35"/>
    <row r="5267" customFormat="1" x14ac:dyDescent="0.35"/>
    <row r="5268" customFormat="1" x14ac:dyDescent="0.35"/>
    <row r="5269" customFormat="1" x14ac:dyDescent="0.35"/>
    <row r="5270" customFormat="1" x14ac:dyDescent="0.35"/>
    <row r="5271" customFormat="1" x14ac:dyDescent="0.35"/>
    <row r="5272" customFormat="1" x14ac:dyDescent="0.35"/>
    <row r="5273" customFormat="1" x14ac:dyDescent="0.35"/>
    <row r="5274" customFormat="1" x14ac:dyDescent="0.35"/>
    <row r="5275" customFormat="1" x14ac:dyDescent="0.35"/>
    <row r="5276" customFormat="1" x14ac:dyDescent="0.35"/>
    <row r="5277" customFormat="1" x14ac:dyDescent="0.35"/>
    <row r="5278" customFormat="1" x14ac:dyDescent="0.35"/>
    <row r="5279" customFormat="1" x14ac:dyDescent="0.35"/>
    <row r="5280" customFormat="1" x14ac:dyDescent="0.35"/>
    <row r="5281" customFormat="1" x14ac:dyDescent="0.35"/>
    <row r="5282" customFormat="1" x14ac:dyDescent="0.35"/>
    <row r="5283" customFormat="1" x14ac:dyDescent="0.35"/>
    <row r="5284" customFormat="1" x14ac:dyDescent="0.35"/>
    <row r="5285" customFormat="1" x14ac:dyDescent="0.35"/>
    <row r="5286" customFormat="1" x14ac:dyDescent="0.35"/>
    <row r="5287" customFormat="1" x14ac:dyDescent="0.35"/>
    <row r="5288" customFormat="1" x14ac:dyDescent="0.35"/>
    <row r="5289" customFormat="1" x14ac:dyDescent="0.35"/>
    <row r="5290" customFormat="1" x14ac:dyDescent="0.35"/>
    <row r="5291" customFormat="1" x14ac:dyDescent="0.35"/>
    <row r="5292" customFormat="1" x14ac:dyDescent="0.35"/>
    <row r="5293" customFormat="1" x14ac:dyDescent="0.35"/>
    <row r="5294" customFormat="1" x14ac:dyDescent="0.35"/>
    <row r="5295" customFormat="1" x14ac:dyDescent="0.35"/>
    <row r="5296" customFormat="1" x14ac:dyDescent="0.35"/>
    <row r="5297" customFormat="1" x14ac:dyDescent="0.35"/>
    <row r="5298" customFormat="1" x14ac:dyDescent="0.35"/>
    <row r="5299" customFormat="1" x14ac:dyDescent="0.35"/>
    <row r="5300" customFormat="1" x14ac:dyDescent="0.35"/>
    <row r="5301" customFormat="1" x14ac:dyDescent="0.35"/>
    <row r="5302" customFormat="1" x14ac:dyDescent="0.35"/>
    <row r="5303" customFormat="1" x14ac:dyDescent="0.35"/>
    <row r="5304" customFormat="1" x14ac:dyDescent="0.35"/>
    <row r="5305" customFormat="1" x14ac:dyDescent="0.35"/>
    <row r="5306" customFormat="1" x14ac:dyDescent="0.35"/>
    <row r="5307" customFormat="1" x14ac:dyDescent="0.35"/>
    <row r="5308" customFormat="1" x14ac:dyDescent="0.35"/>
    <row r="5309" customFormat="1" x14ac:dyDescent="0.35"/>
    <row r="5310" customFormat="1" x14ac:dyDescent="0.35"/>
    <row r="5311" customFormat="1" x14ac:dyDescent="0.35"/>
    <row r="5312" customFormat="1" x14ac:dyDescent="0.35"/>
    <row r="5313" customFormat="1" x14ac:dyDescent="0.35"/>
    <row r="5314" customFormat="1" x14ac:dyDescent="0.35"/>
    <row r="5315" customFormat="1" x14ac:dyDescent="0.35"/>
    <row r="5316" customFormat="1" x14ac:dyDescent="0.35"/>
    <row r="5317" customFormat="1" x14ac:dyDescent="0.35"/>
    <row r="5318" customFormat="1" x14ac:dyDescent="0.35"/>
    <row r="5319" customFormat="1" x14ac:dyDescent="0.35"/>
    <row r="5320" customFormat="1" x14ac:dyDescent="0.35"/>
    <row r="5321" customFormat="1" x14ac:dyDescent="0.35"/>
    <row r="5322" customFormat="1" x14ac:dyDescent="0.35"/>
    <row r="5323" customFormat="1" x14ac:dyDescent="0.35"/>
    <row r="5324" customFormat="1" x14ac:dyDescent="0.35"/>
    <row r="5325" customFormat="1" x14ac:dyDescent="0.35"/>
    <row r="5326" customFormat="1" x14ac:dyDescent="0.35"/>
    <row r="5327" customFormat="1" x14ac:dyDescent="0.35"/>
    <row r="5328" customFormat="1" x14ac:dyDescent="0.35"/>
    <row r="5329" customFormat="1" x14ac:dyDescent="0.35"/>
    <row r="5330" customFormat="1" x14ac:dyDescent="0.35"/>
    <row r="5331" customFormat="1" x14ac:dyDescent="0.35"/>
    <row r="5332" customFormat="1" x14ac:dyDescent="0.35"/>
    <row r="5333" customFormat="1" x14ac:dyDescent="0.35"/>
    <row r="5334" customFormat="1" x14ac:dyDescent="0.35"/>
    <row r="5335" customFormat="1" x14ac:dyDescent="0.35"/>
    <row r="5336" customFormat="1" x14ac:dyDescent="0.35"/>
    <row r="5337" customFormat="1" x14ac:dyDescent="0.35"/>
    <row r="5338" customFormat="1" x14ac:dyDescent="0.35"/>
    <row r="5339" customFormat="1" x14ac:dyDescent="0.35"/>
    <row r="5340" customFormat="1" x14ac:dyDescent="0.35"/>
    <row r="5341" customFormat="1" x14ac:dyDescent="0.35"/>
    <row r="5342" customFormat="1" x14ac:dyDescent="0.35"/>
    <row r="5343" customFormat="1" x14ac:dyDescent="0.35"/>
    <row r="5344" customFormat="1" x14ac:dyDescent="0.35"/>
    <row r="5345" customFormat="1" x14ac:dyDescent="0.35"/>
    <row r="5346" customFormat="1" x14ac:dyDescent="0.35"/>
    <row r="5347" customFormat="1" x14ac:dyDescent="0.35"/>
    <row r="5348" customFormat="1" x14ac:dyDescent="0.35"/>
    <row r="5349" customFormat="1" x14ac:dyDescent="0.35"/>
    <row r="5350" customFormat="1" x14ac:dyDescent="0.35"/>
    <row r="5351" customFormat="1" x14ac:dyDescent="0.35"/>
    <row r="5352" customFormat="1" x14ac:dyDescent="0.35"/>
    <row r="5353" customFormat="1" x14ac:dyDescent="0.35"/>
    <row r="5354" customFormat="1" x14ac:dyDescent="0.35"/>
    <row r="5355" customFormat="1" x14ac:dyDescent="0.35"/>
    <row r="5356" customFormat="1" x14ac:dyDescent="0.35"/>
    <row r="5357" customFormat="1" x14ac:dyDescent="0.35"/>
    <row r="5358" customFormat="1" x14ac:dyDescent="0.35"/>
    <row r="5359" customFormat="1" x14ac:dyDescent="0.35"/>
    <row r="5360" customFormat="1" x14ac:dyDescent="0.35"/>
    <row r="5361" customFormat="1" x14ac:dyDescent="0.35"/>
    <row r="5362" customFormat="1" x14ac:dyDescent="0.35"/>
    <row r="5363" customFormat="1" x14ac:dyDescent="0.35"/>
    <row r="5364" customFormat="1" x14ac:dyDescent="0.35"/>
    <row r="5365" customFormat="1" x14ac:dyDescent="0.35"/>
    <row r="5366" customFormat="1" x14ac:dyDescent="0.35"/>
    <row r="5367" customFormat="1" x14ac:dyDescent="0.35"/>
    <row r="5368" customFormat="1" x14ac:dyDescent="0.35"/>
    <row r="5369" customFormat="1" x14ac:dyDescent="0.35"/>
    <row r="5370" customFormat="1" x14ac:dyDescent="0.35"/>
    <row r="5371" customFormat="1" x14ac:dyDescent="0.35"/>
    <row r="5372" customFormat="1" x14ac:dyDescent="0.35"/>
    <row r="5373" customFormat="1" x14ac:dyDescent="0.35"/>
    <row r="5374" customFormat="1" x14ac:dyDescent="0.35"/>
    <row r="5375" customFormat="1" x14ac:dyDescent="0.35"/>
    <row r="5376" customFormat="1" x14ac:dyDescent="0.35"/>
    <row r="5377" customFormat="1" x14ac:dyDescent="0.35"/>
    <row r="5378" customFormat="1" x14ac:dyDescent="0.35"/>
    <row r="5379" customFormat="1" x14ac:dyDescent="0.35"/>
    <row r="5380" customFormat="1" x14ac:dyDescent="0.35"/>
    <row r="5381" customFormat="1" x14ac:dyDescent="0.35"/>
    <row r="5382" customFormat="1" x14ac:dyDescent="0.35"/>
    <row r="5383" customFormat="1" x14ac:dyDescent="0.35"/>
    <row r="5384" customFormat="1" x14ac:dyDescent="0.35"/>
    <row r="5385" customFormat="1" x14ac:dyDescent="0.35"/>
    <row r="5386" customFormat="1" x14ac:dyDescent="0.35"/>
    <row r="5387" customFormat="1" x14ac:dyDescent="0.35"/>
    <row r="5388" customFormat="1" x14ac:dyDescent="0.35"/>
    <row r="5389" customFormat="1" x14ac:dyDescent="0.35"/>
    <row r="5390" customFormat="1" x14ac:dyDescent="0.35"/>
    <row r="5391" customFormat="1" x14ac:dyDescent="0.35"/>
    <row r="5392" customFormat="1" x14ac:dyDescent="0.35"/>
    <row r="5393" customFormat="1" x14ac:dyDescent="0.35"/>
    <row r="5394" customFormat="1" x14ac:dyDescent="0.35"/>
    <row r="5395" customFormat="1" x14ac:dyDescent="0.35"/>
    <row r="5396" customFormat="1" x14ac:dyDescent="0.35"/>
    <row r="5397" customFormat="1" x14ac:dyDescent="0.35"/>
    <row r="5398" customFormat="1" x14ac:dyDescent="0.35"/>
    <row r="5399" customFormat="1" x14ac:dyDescent="0.35"/>
    <row r="5400" customFormat="1" x14ac:dyDescent="0.35"/>
    <row r="5401" customFormat="1" x14ac:dyDescent="0.35"/>
    <row r="5402" customFormat="1" x14ac:dyDescent="0.35"/>
    <row r="5403" customFormat="1" x14ac:dyDescent="0.35"/>
    <row r="5404" customFormat="1" x14ac:dyDescent="0.35"/>
    <row r="5405" customFormat="1" x14ac:dyDescent="0.35"/>
    <row r="5406" customFormat="1" x14ac:dyDescent="0.35"/>
    <row r="5407" customFormat="1" x14ac:dyDescent="0.35"/>
    <row r="5408" customFormat="1" x14ac:dyDescent="0.35"/>
    <row r="5409" customFormat="1" x14ac:dyDescent="0.35"/>
    <row r="5410" customFormat="1" x14ac:dyDescent="0.35"/>
    <row r="5411" customFormat="1" x14ac:dyDescent="0.35"/>
    <row r="5412" customFormat="1" x14ac:dyDescent="0.35"/>
    <row r="5413" customFormat="1" x14ac:dyDescent="0.35"/>
    <row r="5414" customFormat="1" x14ac:dyDescent="0.35"/>
    <row r="5415" customFormat="1" x14ac:dyDescent="0.35"/>
    <row r="5416" customFormat="1" x14ac:dyDescent="0.35"/>
    <row r="5417" customFormat="1" x14ac:dyDescent="0.35"/>
    <row r="5418" customFormat="1" x14ac:dyDescent="0.35"/>
    <row r="5419" customFormat="1" x14ac:dyDescent="0.35"/>
    <row r="5420" customFormat="1" x14ac:dyDescent="0.35"/>
    <row r="5421" customFormat="1" x14ac:dyDescent="0.35"/>
    <row r="5422" customFormat="1" x14ac:dyDescent="0.35"/>
    <row r="5423" customFormat="1" x14ac:dyDescent="0.35"/>
    <row r="5424" customFormat="1" x14ac:dyDescent="0.35"/>
    <row r="5425" customFormat="1" x14ac:dyDescent="0.35"/>
    <row r="5426" customFormat="1" x14ac:dyDescent="0.35"/>
    <row r="5427" customFormat="1" x14ac:dyDescent="0.35"/>
    <row r="5428" customFormat="1" x14ac:dyDescent="0.35"/>
    <row r="5429" customFormat="1" x14ac:dyDescent="0.35"/>
    <row r="5430" customFormat="1" x14ac:dyDescent="0.35"/>
    <row r="5431" customFormat="1" x14ac:dyDescent="0.35"/>
    <row r="5432" customFormat="1" x14ac:dyDescent="0.35"/>
    <row r="5433" customFormat="1" x14ac:dyDescent="0.35"/>
    <row r="5434" customFormat="1" x14ac:dyDescent="0.35"/>
    <row r="5435" customFormat="1" x14ac:dyDescent="0.35"/>
    <row r="5436" customFormat="1" x14ac:dyDescent="0.35"/>
    <row r="5437" customFormat="1" x14ac:dyDescent="0.35"/>
    <row r="5438" customFormat="1" x14ac:dyDescent="0.35"/>
    <row r="5439" customFormat="1" x14ac:dyDescent="0.35"/>
    <row r="5440" customFormat="1" x14ac:dyDescent="0.35"/>
    <row r="5441" customFormat="1" x14ac:dyDescent="0.35"/>
    <row r="5442" customFormat="1" x14ac:dyDescent="0.35"/>
    <row r="5443" customFormat="1" x14ac:dyDescent="0.35"/>
    <row r="5444" customFormat="1" x14ac:dyDescent="0.35"/>
    <row r="5445" customFormat="1" x14ac:dyDescent="0.35"/>
    <row r="5446" customFormat="1" x14ac:dyDescent="0.35"/>
    <row r="5447" customFormat="1" x14ac:dyDescent="0.35"/>
    <row r="5448" customFormat="1" x14ac:dyDescent="0.35"/>
    <row r="5449" customFormat="1" x14ac:dyDescent="0.35"/>
    <row r="5450" customFormat="1" x14ac:dyDescent="0.35"/>
    <row r="5451" customFormat="1" x14ac:dyDescent="0.35"/>
    <row r="5452" customFormat="1" x14ac:dyDescent="0.35"/>
    <row r="5453" customFormat="1" x14ac:dyDescent="0.35"/>
    <row r="5454" customFormat="1" x14ac:dyDescent="0.35"/>
    <row r="5455" customFormat="1" x14ac:dyDescent="0.35"/>
    <row r="5456" customFormat="1" x14ac:dyDescent="0.35"/>
    <row r="5457" customFormat="1" x14ac:dyDescent="0.35"/>
    <row r="5458" customFormat="1" x14ac:dyDescent="0.35"/>
    <row r="5459" customFormat="1" x14ac:dyDescent="0.35"/>
    <row r="5460" customFormat="1" x14ac:dyDescent="0.35"/>
    <row r="5461" customFormat="1" x14ac:dyDescent="0.35"/>
    <row r="5462" customFormat="1" x14ac:dyDescent="0.35"/>
    <row r="5463" customFormat="1" x14ac:dyDescent="0.35"/>
    <row r="5464" customFormat="1" x14ac:dyDescent="0.35"/>
    <row r="5465" customFormat="1" x14ac:dyDescent="0.35"/>
    <row r="5466" customFormat="1" x14ac:dyDescent="0.35"/>
    <row r="5467" customFormat="1" x14ac:dyDescent="0.35"/>
    <row r="5468" customFormat="1" x14ac:dyDescent="0.35"/>
    <row r="5469" customFormat="1" x14ac:dyDescent="0.35"/>
    <row r="5470" customFormat="1" x14ac:dyDescent="0.35"/>
    <row r="5471" customFormat="1" x14ac:dyDescent="0.35"/>
    <row r="5472" customFormat="1" x14ac:dyDescent="0.35"/>
    <row r="5473" customFormat="1" x14ac:dyDescent="0.35"/>
    <row r="5474" customFormat="1" x14ac:dyDescent="0.35"/>
    <row r="5475" customFormat="1" x14ac:dyDescent="0.35"/>
    <row r="5476" customFormat="1" x14ac:dyDescent="0.35"/>
    <row r="5477" customFormat="1" x14ac:dyDescent="0.35"/>
    <row r="5478" customFormat="1" x14ac:dyDescent="0.35"/>
    <row r="5479" customFormat="1" x14ac:dyDescent="0.35"/>
    <row r="5480" customFormat="1" x14ac:dyDescent="0.35"/>
    <row r="5481" customFormat="1" x14ac:dyDescent="0.35"/>
    <row r="5482" customFormat="1" x14ac:dyDescent="0.35"/>
    <row r="5483" customFormat="1" x14ac:dyDescent="0.35"/>
    <row r="5484" customFormat="1" x14ac:dyDescent="0.35"/>
    <row r="5485" customFormat="1" x14ac:dyDescent="0.35"/>
    <row r="5486" customFormat="1" x14ac:dyDescent="0.35"/>
    <row r="5487" customFormat="1" x14ac:dyDescent="0.35"/>
    <row r="5488" customFormat="1" x14ac:dyDescent="0.35"/>
    <row r="5489" customFormat="1" x14ac:dyDescent="0.35"/>
    <row r="5490" customFormat="1" x14ac:dyDescent="0.35"/>
    <row r="5491" customFormat="1" x14ac:dyDescent="0.35"/>
    <row r="5492" customFormat="1" x14ac:dyDescent="0.35"/>
    <row r="5493" customFormat="1" x14ac:dyDescent="0.35"/>
    <row r="5494" customFormat="1" x14ac:dyDescent="0.35"/>
    <row r="5495" customFormat="1" x14ac:dyDescent="0.35"/>
    <row r="5496" customFormat="1" x14ac:dyDescent="0.35"/>
    <row r="5497" customFormat="1" x14ac:dyDescent="0.35"/>
    <row r="5498" customFormat="1" x14ac:dyDescent="0.35"/>
    <row r="5499" customFormat="1" x14ac:dyDescent="0.35"/>
    <row r="5500" customFormat="1" x14ac:dyDescent="0.35"/>
    <row r="5501" customFormat="1" x14ac:dyDescent="0.35"/>
    <row r="5502" customFormat="1" x14ac:dyDescent="0.35"/>
    <row r="5503" customFormat="1" x14ac:dyDescent="0.35"/>
    <row r="5504" customFormat="1" x14ac:dyDescent="0.35"/>
    <row r="5505" customFormat="1" x14ac:dyDescent="0.35"/>
    <row r="5506" customFormat="1" x14ac:dyDescent="0.35"/>
    <row r="5507" customFormat="1" x14ac:dyDescent="0.35"/>
    <row r="5508" customFormat="1" x14ac:dyDescent="0.35"/>
    <row r="5509" customFormat="1" x14ac:dyDescent="0.35"/>
    <row r="5510" customFormat="1" x14ac:dyDescent="0.35"/>
    <row r="5511" customFormat="1" x14ac:dyDescent="0.35"/>
    <row r="5512" customFormat="1" x14ac:dyDescent="0.35"/>
    <row r="5513" customFormat="1" x14ac:dyDescent="0.35"/>
    <row r="5514" customFormat="1" x14ac:dyDescent="0.35"/>
    <row r="5515" customFormat="1" x14ac:dyDescent="0.35"/>
    <row r="5516" customFormat="1" x14ac:dyDescent="0.35"/>
    <row r="5517" customFormat="1" x14ac:dyDescent="0.35"/>
    <row r="5518" customFormat="1" x14ac:dyDescent="0.35"/>
    <row r="5519" customFormat="1" x14ac:dyDescent="0.35"/>
    <row r="5520" customFormat="1" x14ac:dyDescent="0.35"/>
    <row r="5521" customFormat="1" x14ac:dyDescent="0.35"/>
    <row r="5522" customFormat="1" x14ac:dyDescent="0.35"/>
    <row r="5523" customFormat="1" x14ac:dyDescent="0.35"/>
    <row r="5524" customFormat="1" x14ac:dyDescent="0.35"/>
    <row r="5525" customFormat="1" x14ac:dyDescent="0.35"/>
    <row r="5526" customFormat="1" x14ac:dyDescent="0.35"/>
    <row r="5527" customFormat="1" x14ac:dyDescent="0.35"/>
    <row r="5528" customFormat="1" x14ac:dyDescent="0.35"/>
    <row r="5529" customFormat="1" x14ac:dyDescent="0.35"/>
    <row r="5530" customFormat="1" x14ac:dyDescent="0.35"/>
    <row r="5531" customFormat="1" x14ac:dyDescent="0.35"/>
    <row r="5532" customFormat="1" x14ac:dyDescent="0.35"/>
    <row r="5533" customFormat="1" x14ac:dyDescent="0.35"/>
    <row r="5534" customFormat="1" x14ac:dyDescent="0.35"/>
    <row r="5535" customFormat="1" x14ac:dyDescent="0.35"/>
    <row r="5536" customFormat="1" x14ac:dyDescent="0.35"/>
    <row r="5537" customFormat="1" x14ac:dyDescent="0.35"/>
    <row r="5538" customFormat="1" x14ac:dyDescent="0.35"/>
    <row r="5539" customFormat="1" x14ac:dyDescent="0.35"/>
    <row r="5540" customFormat="1" x14ac:dyDescent="0.35"/>
    <row r="5541" customFormat="1" x14ac:dyDescent="0.35"/>
    <row r="5542" customFormat="1" x14ac:dyDescent="0.35"/>
    <row r="5543" customFormat="1" x14ac:dyDescent="0.35"/>
    <row r="5544" customFormat="1" x14ac:dyDescent="0.35"/>
    <row r="5545" customFormat="1" x14ac:dyDescent="0.35"/>
    <row r="5546" customFormat="1" x14ac:dyDescent="0.35"/>
    <row r="5547" customFormat="1" x14ac:dyDescent="0.35"/>
    <row r="5548" customFormat="1" x14ac:dyDescent="0.35"/>
    <row r="5549" customFormat="1" x14ac:dyDescent="0.35"/>
    <row r="5550" customFormat="1" x14ac:dyDescent="0.35"/>
    <row r="5551" customFormat="1" x14ac:dyDescent="0.35"/>
    <row r="5552" customFormat="1" x14ac:dyDescent="0.35"/>
    <row r="5553" customFormat="1" x14ac:dyDescent="0.35"/>
    <row r="5554" customFormat="1" x14ac:dyDescent="0.35"/>
    <row r="5555" customFormat="1" x14ac:dyDescent="0.35"/>
    <row r="5556" customFormat="1" x14ac:dyDescent="0.35"/>
    <row r="5557" customFormat="1" x14ac:dyDescent="0.35"/>
    <row r="5558" customFormat="1" x14ac:dyDescent="0.35"/>
    <row r="5559" customFormat="1" x14ac:dyDescent="0.35"/>
    <row r="5560" customFormat="1" x14ac:dyDescent="0.35"/>
    <row r="5561" customFormat="1" x14ac:dyDescent="0.35"/>
    <row r="5562" customFormat="1" x14ac:dyDescent="0.35"/>
    <row r="5563" customFormat="1" x14ac:dyDescent="0.35"/>
    <row r="5564" customFormat="1" x14ac:dyDescent="0.35"/>
    <row r="5565" customFormat="1" x14ac:dyDescent="0.35"/>
    <row r="5566" customFormat="1" x14ac:dyDescent="0.35"/>
    <row r="5567" customFormat="1" x14ac:dyDescent="0.35"/>
    <row r="5568" customFormat="1" x14ac:dyDescent="0.35"/>
    <row r="5569" customFormat="1" x14ac:dyDescent="0.35"/>
    <row r="5570" customFormat="1" x14ac:dyDescent="0.35"/>
    <row r="5571" customFormat="1" x14ac:dyDescent="0.35"/>
    <row r="5572" customFormat="1" x14ac:dyDescent="0.35"/>
    <row r="5573" customFormat="1" x14ac:dyDescent="0.35"/>
    <row r="5574" customFormat="1" x14ac:dyDescent="0.35"/>
    <row r="5575" customFormat="1" x14ac:dyDescent="0.35"/>
    <row r="5576" customFormat="1" x14ac:dyDescent="0.35"/>
    <row r="5577" customFormat="1" x14ac:dyDescent="0.35"/>
    <row r="5578" customFormat="1" x14ac:dyDescent="0.35"/>
    <row r="5579" customFormat="1" x14ac:dyDescent="0.35"/>
    <row r="5580" customFormat="1" x14ac:dyDescent="0.35"/>
    <row r="5581" customFormat="1" x14ac:dyDescent="0.35"/>
    <row r="5582" customFormat="1" x14ac:dyDescent="0.35"/>
    <row r="5583" customFormat="1" x14ac:dyDescent="0.35"/>
    <row r="5584" customFormat="1" x14ac:dyDescent="0.35"/>
    <row r="5585" customFormat="1" x14ac:dyDescent="0.35"/>
    <row r="5586" customFormat="1" x14ac:dyDescent="0.35"/>
    <row r="5587" customFormat="1" x14ac:dyDescent="0.35"/>
    <row r="5588" customFormat="1" x14ac:dyDescent="0.35"/>
    <row r="5589" customFormat="1" x14ac:dyDescent="0.35"/>
    <row r="5590" customFormat="1" x14ac:dyDescent="0.35"/>
    <row r="5591" customFormat="1" x14ac:dyDescent="0.35"/>
    <row r="5592" customFormat="1" x14ac:dyDescent="0.35"/>
    <row r="5593" customFormat="1" x14ac:dyDescent="0.35"/>
    <row r="5594" customFormat="1" x14ac:dyDescent="0.35"/>
    <row r="5595" customFormat="1" x14ac:dyDescent="0.35"/>
    <row r="5596" customFormat="1" x14ac:dyDescent="0.35"/>
    <row r="5597" customFormat="1" x14ac:dyDescent="0.35"/>
    <row r="5598" customFormat="1" x14ac:dyDescent="0.35"/>
    <row r="5599" customFormat="1" x14ac:dyDescent="0.35"/>
    <row r="5600" customFormat="1" x14ac:dyDescent="0.35"/>
    <row r="5601" customFormat="1" x14ac:dyDescent="0.35"/>
    <row r="5602" customFormat="1" x14ac:dyDescent="0.35"/>
    <row r="5603" customFormat="1" x14ac:dyDescent="0.35"/>
    <row r="5604" customFormat="1" x14ac:dyDescent="0.35"/>
    <row r="5605" customFormat="1" x14ac:dyDescent="0.35"/>
    <row r="5606" customFormat="1" x14ac:dyDescent="0.35"/>
    <row r="5607" customFormat="1" x14ac:dyDescent="0.35"/>
    <row r="5608" customFormat="1" x14ac:dyDescent="0.35"/>
    <row r="5609" customFormat="1" x14ac:dyDescent="0.35"/>
    <row r="5610" customFormat="1" x14ac:dyDescent="0.35"/>
    <row r="5611" customFormat="1" x14ac:dyDescent="0.35"/>
    <row r="5612" customFormat="1" x14ac:dyDescent="0.35"/>
    <row r="5613" customFormat="1" x14ac:dyDescent="0.35"/>
    <row r="5614" customFormat="1" x14ac:dyDescent="0.35"/>
    <row r="5615" customFormat="1" x14ac:dyDescent="0.35"/>
    <row r="5616" customFormat="1" x14ac:dyDescent="0.35"/>
    <row r="5617" customFormat="1" x14ac:dyDescent="0.35"/>
    <row r="5618" customFormat="1" x14ac:dyDescent="0.35"/>
    <row r="5619" customFormat="1" x14ac:dyDescent="0.35"/>
    <row r="5620" customFormat="1" x14ac:dyDescent="0.35"/>
    <row r="5621" customFormat="1" x14ac:dyDescent="0.35"/>
    <row r="5622" customFormat="1" x14ac:dyDescent="0.35"/>
    <row r="5623" customFormat="1" x14ac:dyDescent="0.35"/>
    <row r="5624" customFormat="1" x14ac:dyDescent="0.35"/>
    <row r="5625" customFormat="1" x14ac:dyDescent="0.35"/>
    <row r="5626" customFormat="1" x14ac:dyDescent="0.35"/>
    <row r="5627" customFormat="1" x14ac:dyDescent="0.35"/>
    <row r="5628" customFormat="1" x14ac:dyDescent="0.35"/>
    <row r="5629" customFormat="1" x14ac:dyDescent="0.35"/>
    <row r="5630" customFormat="1" x14ac:dyDescent="0.35"/>
    <row r="5631" customFormat="1" x14ac:dyDescent="0.35"/>
    <row r="5632" customFormat="1" x14ac:dyDescent="0.35"/>
    <row r="5633" customFormat="1" x14ac:dyDescent="0.35"/>
    <row r="5634" customFormat="1" x14ac:dyDescent="0.35"/>
    <row r="5635" customFormat="1" x14ac:dyDescent="0.35"/>
    <row r="5636" customFormat="1" x14ac:dyDescent="0.35"/>
    <row r="5637" customFormat="1" x14ac:dyDescent="0.35"/>
    <row r="5638" customFormat="1" x14ac:dyDescent="0.35"/>
    <row r="5639" customFormat="1" x14ac:dyDescent="0.35"/>
    <row r="5640" customFormat="1" x14ac:dyDescent="0.35"/>
    <row r="5641" customFormat="1" x14ac:dyDescent="0.35"/>
    <row r="5642" customFormat="1" x14ac:dyDescent="0.35"/>
    <row r="5643" customFormat="1" x14ac:dyDescent="0.35"/>
    <row r="5644" customFormat="1" x14ac:dyDescent="0.35"/>
    <row r="5645" customFormat="1" x14ac:dyDescent="0.35"/>
    <row r="5646" customFormat="1" x14ac:dyDescent="0.35"/>
    <row r="5647" customFormat="1" x14ac:dyDescent="0.35"/>
    <row r="5648" customFormat="1" x14ac:dyDescent="0.35"/>
    <row r="5649" customFormat="1" x14ac:dyDescent="0.35"/>
    <row r="5650" customFormat="1" x14ac:dyDescent="0.35"/>
    <row r="5651" customFormat="1" x14ac:dyDescent="0.35"/>
    <row r="5652" customFormat="1" x14ac:dyDescent="0.35"/>
    <row r="5653" customFormat="1" x14ac:dyDescent="0.35"/>
    <row r="5654" customFormat="1" x14ac:dyDescent="0.35"/>
    <row r="5655" customFormat="1" x14ac:dyDescent="0.35"/>
    <row r="5656" customFormat="1" x14ac:dyDescent="0.35"/>
    <row r="5657" customFormat="1" x14ac:dyDescent="0.35"/>
    <row r="5658" customFormat="1" x14ac:dyDescent="0.35"/>
    <row r="5659" customFormat="1" x14ac:dyDescent="0.35"/>
    <row r="5660" customFormat="1" x14ac:dyDescent="0.35"/>
    <row r="5661" customFormat="1" x14ac:dyDescent="0.35"/>
    <row r="5662" customFormat="1" x14ac:dyDescent="0.35"/>
    <row r="5663" customFormat="1" x14ac:dyDescent="0.35"/>
    <row r="5664" customFormat="1" x14ac:dyDescent="0.35"/>
    <row r="5665" customFormat="1" x14ac:dyDescent="0.35"/>
    <row r="5666" customFormat="1" x14ac:dyDescent="0.35"/>
    <row r="5667" customFormat="1" x14ac:dyDescent="0.35"/>
    <row r="5668" customFormat="1" x14ac:dyDescent="0.35"/>
    <row r="5669" customFormat="1" x14ac:dyDescent="0.35"/>
    <row r="5670" customFormat="1" x14ac:dyDescent="0.35"/>
    <row r="5671" customFormat="1" x14ac:dyDescent="0.35"/>
    <row r="5672" customFormat="1" x14ac:dyDescent="0.35"/>
    <row r="5673" customFormat="1" x14ac:dyDescent="0.35"/>
    <row r="5674" customFormat="1" x14ac:dyDescent="0.35"/>
    <row r="5675" customFormat="1" x14ac:dyDescent="0.35"/>
    <row r="5676" customFormat="1" x14ac:dyDescent="0.35"/>
    <row r="5677" customFormat="1" x14ac:dyDescent="0.35"/>
    <row r="5678" customFormat="1" x14ac:dyDescent="0.35"/>
    <row r="5679" customFormat="1" x14ac:dyDescent="0.35"/>
    <row r="5680" customFormat="1" x14ac:dyDescent="0.35"/>
    <row r="5681" customFormat="1" x14ac:dyDescent="0.35"/>
    <row r="5682" customFormat="1" x14ac:dyDescent="0.35"/>
    <row r="5683" customFormat="1" x14ac:dyDescent="0.35"/>
    <row r="5684" customFormat="1" x14ac:dyDescent="0.35"/>
    <row r="5685" customFormat="1" x14ac:dyDescent="0.35"/>
    <row r="5686" customFormat="1" x14ac:dyDescent="0.35"/>
    <row r="5687" customFormat="1" x14ac:dyDescent="0.35"/>
    <row r="5688" customFormat="1" x14ac:dyDescent="0.35"/>
    <row r="5689" customFormat="1" x14ac:dyDescent="0.35"/>
    <row r="5690" customFormat="1" x14ac:dyDescent="0.35"/>
    <row r="5691" customFormat="1" x14ac:dyDescent="0.35"/>
    <row r="5692" customFormat="1" x14ac:dyDescent="0.35"/>
    <row r="5693" customFormat="1" x14ac:dyDescent="0.35"/>
    <row r="5694" customFormat="1" x14ac:dyDescent="0.35"/>
    <row r="5695" customFormat="1" x14ac:dyDescent="0.35"/>
    <row r="5696" customFormat="1" x14ac:dyDescent="0.35"/>
    <row r="5697" customFormat="1" x14ac:dyDescent="0.35"/>
    <row r="5698" customFormat="1" x14ac:dyDescent="0.35"/>
    <row r="5699" customFormat="1" x14ac:dyDescent="0.35"/>
    <row r="5700" customFormat="1" x14ac:dyDescent="0.35"/>
    <row r="5701" customFormat="1" x14ac:dyDescent="0.35"/>
    <row r="5702" customFormat="1" x14ac:dyDescent="0.35"/>
    <row r="5703" customFormat="1" x14ac:dyDescent="0.35"/>
    <row r="5704" customFormat="1" x14ac:dyDescent="0.35"/>
    <row r="5705" customFormat="1" x14ac:dyDescent="0.35"/>
    <row r="5706" customFormat="1" x14ac:dyDescent="0.35"/>
    <row r="5707" customFormat="1" x14ac:dyDescent="0.35"/>
    <row r="5708" customFormat="1" x14ac:dyDescent="0.35"/>
    <row r="5709" customFormat="1" x14ac:dyDescent="0.35"/>
    <row r="5710" customFormat="1" x14ac:dyDescent="0.35"/>
    <row r="5711" customFormat="1" x14ac:dyDescent="0.35"/>
    <row r="5712" customFormat="1" x14ac:dyDescent="0.35"/>
    <row r="5713" customFormat="1" x14ac:dyDescent="0.35"/>
    <row r="5714" customFormat="1" x14ac:dyDescent="0.35"/>
    <row r="5715" customFormat="1" x14ac:dyDescent="0.35"/>
    <row r="5716" customFormat="1" x14ac:dyDescent="0.35"/>
    <row r="5717" customFormat="1" x14ac:dyDescent="0.35"/>
    <row r="5718" customFormat="1" x14ac:dyDescent="0.35"/>
    <row r="5719" customFormat="1" x14ac:dyDescent="0.35"/>
    <row r="5720" customFormat="1" x14ac:dyDescent="0.35"/>
    <row r="5721" customFormat="1" x14ac:dyDescent="0.35"/>
    <row r="5722" customFormat="1" x14ac:dyDescent="0.35"/>
    <row r="5723" customFormat="1" x14ac:dyDescent="0.35"/>
    <row r="5724" customFormat="1" x14ac:dyDescent="0.35"/>
    <row r="5725" customFormat="1" x14ac:dyDescent="0.35"/>
    <row r="5726" customFormat="1" x14ac:dyDescent="0.35"/>
    <row r="5727" customFormat="1" x14ac:dyDescent="0.35"/>
    <row r="5728" customFormat="1" x14ac:dyDescent="0.35"/>
    <row r="5729" customFormat="1" x14ac:dyDescent="0.35"/>
    <row r="5730" customFormat="1" x14ac:dyDescent="0.35"/>
    <row r="5731" customFormat="1" x14ac:dyDescent="0.35"/>
    <row r="5732" customFormat="1" x14ac:dyDescent="0.35"/>
    <row r="5733" customFormat="1" x14ac:dyDescent="0.35"/>
    <row r="5734" customFormat="1" x14ac:dyDescent="0.35"/>
    <row r="5735" customFormat="1" x14ac:dyDescent="0.35"/>
    <row r="5736" customFormat="1" x14ac:dyDescent="0.35"/>
    <row r="5737" customFormat="1" x14ac:dyDescent="0.35"/>
    <row r="5738" customFormat="1" x14ac:dyDescent="0.35"/>
    <row r="5739" customFormat="1" x14ac:dyDescent="0.35"/>
    <row r="5740" customFormat="1" x14ac:dyDescent="0.35"/>
    <row r="5741" customFormat="1" x14ac:dyDescent="0.35"/>
    <row r="5742" customFormat="1" x14ac:dyDescent="0.35"/>
    <row r="5743" customFormat="1" x14ac:dyDescent="0.35"/>
    <row r="5744" customFormat="1" x14ac:dyDescent="0.35"/>
    <row r="5745" customFormat="1" x14ac:dyDescent="0.35"/>
    <row r="5746" customFormat="1" x14ac:dyDescent="0.35"/>
    <row r="5747" customFormat="1" x14ac:dyDescent="0.35"/>
    <row r="5748" customFormat="1" x14ac:dyDescent="0.35"/>
    <row r="5749" customFormat="1" x14ac:dyDescent="0.35"/>
    <row r="5750" customFormat="1" x14ac:dyDescent="0.35"/>
    <row r="5751" customFormat="1" x14ac:dyDescent="0.35"/>
    <row r="5752" customFormat="1" x14ac:dyDescent="0.35"/>
    <row r="5753" customFormat="1" x14ac:dyDescent="0.35"/>
    <row r="5754" customFormat="1" x14ac:dyDescent="0.35"/>
    <row r="5755" customFormat="1" x14ac:dyDescent="0.35"/>
    <row r="5756" customFormat="1" x14ac:dyDescent="0.35"/>
    <row r="5757" customFormat="1" x14ac:dyDescent="0.35"/>
    <row r="5758" customFormat="1" x14ac:dyDescent="0.35"/>
    <row r="5759" customFormat="1" x14ac:dyDescent="0.35"/>
    <row r="5760" customFormat="1" x14ac:dyDescent="0.35"/>
    <row r="5761" customFormat="1" x14ac:dyDescent="0.35"/>
    <row r="5762" customFormat="1" x14ac:dyDescent="0.35"/>
    <row r="5763" customFormat="1" x14ac:dyDescent="0.35"/>
    <row r="5764" customFormat="1" x14ac:dyDescent="0.35"/>
    <row r="5765" customFormat="1" x14ac:dyDescent="0.35"/>
    <row r="5766" customFormat="1" x14ac:dyDescent="0.35"/>
    <row r="5767" customFormat="1" x14ac:dyDescent="0.35"/>
    <row r="5768" customFormat="1" x14ac:dyDescent="0.35"/>
    <row r="5769" customFormat="1" x14ac:dyDescent="0.35"/>
    <row r="5770" customFormat="1" x14ac:dyDescent="0.35"/>
    <row r="5771" customFormat="1" x14ac:dyDescent="0.35"/>
    <row r="5772" customFormat="1" x14ac:dyDescent="0.35"/>
    <row r="5773" customFormat="1" x14ac:dyDescent="0.35"/>
    <row r="5774" customFormat="1" x14ac:dyDescent="0.35"/>
    <row r="5775" customFormat="1" x14ac:dyDescent="0.35"/>
    <row r="5776" customFormat="1" x14ac:dyDescent="0.35"/>
    <row r="5777" customFormat="1" x14ac:dyDescent="0.35"/>
    <row r="5778" customFormat="1" x14ac:dyDescent="0.35"/>
    <row r="5779" customFormat="1" x14ac:dyDescent="0.35"/>
    <row r="5780" customFormat="1" x14ac:dyDescent="0.35"/>
    <row r="5781" customFormat="1" x14ac:dyDescent="0.35"/>
    <row r="5782" customFormat="1" x14ac:dyDescent="0.35"/>
    <row r="5783" customFormat="1" x14ac:dyDescent="0.35"/>
    <row r="5784" customFormat="1" x14ac:dyDescent="0.35"/>
    <row r="5785" customFormat="1" x14ac:dyDescent="0.35"/>
    <row r="5786" customFormat="1" x14ac:dyDescent="0.35"/>
    <row r="5787" customFormat="1" x14ac:dyDescent="0.35"/>
    <row r="5788" customFormat="1" x14ac:dyDescent="0.35"/>
    <row r="5789" customFormat="1" x14ac:dyDescent="0.35"/>
    <row r="5790" customFormat="1" x14ac:dyDescent="0.35"/>
    <row r="5791" customFormat="1" x14ac:dyDescent="0.35"/>
    <row r="5792" customFormat="1" x14ac:dyDescent="0.35"/>
    <row r="5793" customFormat="1" x14ac:dyDescent="0.35"/>
    <row r="5794" customFormat="1" x14ac:dyDescent="0.35"/>
    <row r="5795" customFormat="1" x14ac:dyDescent="0.35"/>
    <row r="5796" customFormat="1" x14ac:dyDescent="0.35"/>
    <row r="5797" customFormat="1" x14ac:dyDescent="0.35"/>
    <row r="5798" customFormat="1" x14ac:dyDescent="0.35"/>
    <row r="5799" customFormat="1" x14ac:dyDescent="0.35"/>
    <row r="5800" customFormat="1" x14ac:dyDescent="0.35"/>
    <row r="5801" customFormat="1" x14ac:dyDescent="0.35"/>
    <row r="5802" customFormat="1" x14ac:dyDescent="0.35"/>
    <row r="5803" customFormat="1" x14ac:dyDescent="0.35"/>
    <row r="5804" customFormat="1" x14ac:dyDescent="0.35"/>
    <row r="5805" customFormat="1" x14ac:dyDescent="0.35"/>
    <row r="5806" customFormat="1" x14ac:dyDescent="0.35"/>
    <row r="5807" customFormat="1" x14ac:dyDescent="0.35"/>
    <row r="5808" customFormat="1" x14ac:dyDescent="0.35"/>
    <row r="5809" customFormat="1" x14ac:dyDescent="0.35"/>
    <row r="5810" customFormat="1" x14ac:dyDescent="0.35"/>
    <row r="5811" customFormat="1" x14ac:dyDescent="0.35"/>
    <row r="5812" customFormat="1" x14ac:dyDescent="0.35"/>
    <row r="5813" customFormat="1" x14ac:dyDescent="0.35"/>
    <row r="5814" customFormat="1" x14ac:dyDescent="0.35"/>
    <row r="5815" customFormat="1" x14ac:dyDescent="0.35"/>
    <row r="5816" customFormat="1" x14ac:dyDescent="0.35"/>
    <row r="5817" customFormat="1" x14ac:dyDescent="0.35"/>
    <row r="5818" customFormat="1" x14ac:dyDescent="0.35"/>
    <row r="5819" customFormat="1" x14ac:dyDescent="0.35"/>
    <row r="5820" customFormat="1" x14ac:dyDescent="0.35"/>
    <row r="5821" customFormat="1" x14ac:dyDescent="0.35"/>
    <row r="5822" customFormat="1" x14ac:dyDescent="0.35"/>
    <row r="5823" customFormat="1" x14ac:dyDescent="0.35"/>
    <row r="5824" customFormat="1" x14ac:dyDescent="0.35"/>
    <row r="5825" customFormat="1" x14ac:dyDescent="0.35"/>
    <row r="5826" customFormat="1" x14ac:dyDescent="0.35"/>
    <row r="5827" customFormat="1" x14ac:dyDescent="0.35"/>
    <row r="5828" customFormat="1" x14ac:dyDescent="0.35"/>
    <row r="5829" customFormat="1" x14ac:dyDescent="0.35"/>
    <row r="5830" customFormat="1" x14ac:dyDescent="0.35"/>
    <row r="5831" customFormat="1" x14ac:dyDescent="0.35"/>
    <row r="5832" customFormat="1" x14ac:dyDescent="0.35"/>
    <row r="5833" customFormat="1" x14ac:dyDescent="0.35"/>
    <row r="5834" customFormat="1" x14ac:dyDescent="0.35"/>
    <row r="5835" customFormat="1" x14ac:dyDescent="0.35"/>
    <row r="5836" customFormat="1" x14ac:dyDescent="0.35"/>
    <row r="5837" customFormat="1" x14ac:dyDescent="0.35"/>
    <row r="5838" customFormat="1" x14ac:dyDescent="0.35"/>
    <row r="5839" customFormat="1" x14ac:dyDescent="0.35"/>
    <row r="5840" customFormat="1" x14ac:dyDescent="0.35"/>
    <row r="5841" customFormat="1" x14ac:dyDescent="0.35"/>
    <row r="5842" customFormat="1" x14ac:dyDescent="0.35"/>
    <row r="5843" customFormat="1" x14ac:dyDescent="0.35"/>
    <row r="5844" customFormat="1" x14ac:dyDescent="0.35"/>
    <row r="5845" customFormat="1" x14ac:dyDescent="0.35"/>
    <row r="5846" customFormat="1" x14ac:dyDescent="0.35"/>
    <row r="5847" customFormat="1" x14ac:dyDescent="0.35"/>
    <row r="5848" customFormat="1" x14ac:dyDescent="0.35"/>
    <row r="5849" customFormat="1" x14ac:dyDescent="0.35"/>
    <row r="5850" customFormat="1" x14ac:dyDescent="0.35"/>
    <row r="5851" customFormat="1" x14ac:dyDescent="0.35"/>
    <row r="5852" customFormat="1" x14ac:dyDescent="0.35"/>
    <row r="5853" customFormat="1" x14ac:dyDescent="0.35"/>
    <row r="5854" customFormat="1" x14ac:dyDescent="0.35"/>
    <row r="5855" customFormat="1" x14ac:dyDescent="0.35"/>
    <row r="5856" customFormat="1" x14ac:dyDescent="0.35"/>
    <row r="5857" customFormat="1" x14ac:dyDescent="0.35"/>
    <row r="5858" customFormat="1" x14ac:dyDescent="0.35"/>
    <row r="5859" customFormat="1" x14ac:dyDescent="0.35"/>
    <row r="5860" customFormat="1" x14ac:dyDescent="0.35"/>
    <row r="5861" customFormat="1" x14ac:dyDescent="0.35"/>
    <row r="5862" customFormat="1" x14ac:dyDescent="0.35"/>
    <row r="5863" customFormat="1" x14ac:dyDescent="0.35"/>
    <row r="5864" customFormat="1" x14ac:dyDescent="0.35"/>
    <row r="5865" customFormat="1" x14ac:dyDescent="0.35"/>
    <row r="5866" customFormat="1" x14ac:dyDescent="0.35"/>
    <row r="5867" customFormat="1" x14ac:dyDescent="0.35"/>
    <row r="5868" customFormat="1" x14ac:dyDescent="0.35"/>
    <row r="5869" customFormat="1" x14ac:dyDescent="0.35"/>
    <row r="5870" customFormat="1" x14ac:dyDescent="0.35"/>
    <row r="5871" customFormat="1" x14ac:dyDescent="0.35"/>
    <row r="5872" customFormat="1" x14ac:dyDescent="0.35"/>
    <row r="5873" customFormat="1" x14ac:dyDescent="0.35"/>
    <row r="5874" customFormat="1" x14ac:dyDescent="0.35"/>
    <row r="5875" customFormat="1" x14ac:dyDescent="0.35"/>
    <row r="5876" customFormat="1" x14ac:dyDescent="0.35"/>
    <row r="5877" customFormat="1" x14ac:dyDescent="0.35"/>
    <row r="5878" customFormat="1" x14ac:dyDescent="0.35"/>
    <row r="5879" customFormat="1" x14ac:dyDescent="0.35"/>
    <row r="5880" customFormat="1" x14ac:dyDescent="0.35"/>
    <row r="5881" customFormat="1" x14ac:dyDescent="0.35"/>
    <row r="5882" customFormat="1" x14ac:dyDescent="0.35"/>
    <row r="5883" customFormat="1" x14ac:dyDescent="0.35"/>
    <row r="5884" customFormat="1" x14ac:dyDescent="0.35"/>
    <row r="5885" customFormat="1" x14ac:dyDescent="0.35"/>
    <row r="5886" customFormat="1" x14ac:dyDescent="0.35"/>
    <row r="5887" customFormat="1" x14ac:dyDescent="0.35"/>
    <row r="5888" customFormat="1" x14ac:dyDescent="0.35"/>
    <row r="5889" customFormat="1" x14ac:dyDescent="0.35"/>
    <row r="5890" customFormat="1" x14ac:dyDescent="0.35"/>
    <row r="5891" customFormat="1" x14ac:dyDescent="0.35"/>
    <row r="5892" customFormat="1" x14ac:dyDescent="0.35"/>
    <row r="5893" customFormat="1" x14ac:dyDescent="0.35"/>
    <row r="5894" customFormat="1" x14ac:dyDescent="0.35"/>
    <row r="5895" customFormat="1" x14ac:dyDescent="0.35"/>
    <row r="5896" customFormat="1" x14ac:dyDescent="0.35"/>
    <row r="5897" customFormat="1" x14ac:dyDescent="0.35"/>
    <row r="5898" customFormat="1" x14ac:dyDescent="0.35"/>
    <row r="5899" customFormat="1" x14ac:dyDescent="0.35"/>
    <row r="5900" customFormat="1" x14ac:dyDescent="0.35"/>
    <row r="5901" customFormat="1" x14ac:dyDescent="0.35"/>
    <row r="5902" customFormat="1" x14ac:dyDescent="0.35"/>
    <row r="5903" customFormat="1" x14ac:dyDescent="0.35"/>
    <row r="5904" customFormat="1" x14ac:dyDescent="0.35"/>
    <row r="5905" customFormat="1" x14ac:dyDescent="0.35"/>
    <row r="5906" customFormat="1" x14ac:dyDescent="0.35"/>
    <row r="5907" customFormat="1" x14ac:dyDescent="0.35"/>
    <row r="5908" customFormat="1" x14ac:dyDescent="0.35"/>
    <row r="5909" customFormat="1" x14ac:dyDescent="0.35"/>
    <row r="5910" customFormat="1" x14ac:dyDescent="0.35"/>
    <row r="5911" customFormat="1" x14ac:dyDescent="0.35"/>
    <row r="5912" customFormat="1" x14ac:dyDescent="0.35"/>
    <row r="5913" customFormat="1" x14ac:dyDescent="0.35"/>
    <row r="5914" customFormat="1" x14ac:dyDescent="0.35"/>
    <row r="5915" customFormat="1" x14ac:dyDescent="0.35"/>
    <row r="5916" customFormat="1" x14ac:dyDescent="0.35"/>
    <row r="5917" customFormat="1" x14ac:dyDescent="0.35"/>
    <row r="5918" customFormat="1" x14ac:dyDescent="0.35"/>
    <row r="5919" customFormat="1" x14ac:dyDescent="0.35"/>
    <row r="5920" customFormat="1" x14ac:dyDescent="0.35"/>
    <row r="5921" customFormat="1" x14ac:dyDescent="0.35"/>
    <row r="5922" customFormat="1" x14ac:dyDescent="0.35"/>
    <row r="5923" customFormat="1" x14ac:dyDescent="0.35"/>
    <row r="5924" customFormat="1" x14ac:dyDescent="0.35"/>
    <row r="5925" customFormat="1" x14ac:dyDescent="0.35"/>
    <row r="5926" customFormat="1" x14ac:dyDescent="0.35"/>
    <row r="5927" customFormat="1" x14ac:dyDescent="0.35"/>
    <row r="5928" customFormat="1" x14ac:dyDescent="0.35"/>
    <row r="5929" customFormat="1" x14ac:dyDescent="0.35"/>
    <row r="5930" customFormat="1" x14ac:dyDescent="0.35"/>
    <row r="5931" customFormat="1" x14ac:dyDescent="0.35"/>
    <row r="5932" customFormat="1" x14ac:dyDescent="0.35"/>
    <row r="5933" customFormat="1" x14ac:dyDescent="0.35"/>
    <row r="5934" customFormat="1" x14ac:dyDescent="0.35"/>
    <row r="5935" customFormat="1" x14ac:dyDescent="0.35"/>
    <row r="5936" customFormat="1" x14ac:dyDescent="0.35"/>
    <row r="5937" customFormat="1" x14ac:dyDescent="0.35"/>
    <row r="5938" customFormat="1" x14ac:dyDescent="0.35"/>
    <row r="5939" customFormat="1" x14ac:dyDescent="0.35"/>
    <row r="5940" customFormat="1" x14ac:dyDescent="0.35"/>
    <row r="5941" customFormat="1" x14ac:dyDescent="0.35"/>
    <row r="5942" customFormat="1" x14ac:dyDescent="0.35"/>
    <row r="5943" customFormat="1" x14ac:dyDescent="0.35"/>
    <row r="5944" customFormat="1" x14ac:dyDescent="0.35"/>
    <row r="5945" customFormat="1" x14ac:dyDescent="0.35"/>
    <row r="5946" customFormat="1" x14ac:dyDescent="0.35"/>
    <row r="5947" customFormat="1" x14ac:dyDescent="0.35"/>
    <row r="5948" customFormat="1" x14ac:dyDescent="0.35"/>
    <row r="5949" customFormat="1" x14ac:dyDescent="0.35"/>
    <row r="5950" customFormat="1" x14ac:dyDescent="0.35"/>
    <row r="5951" customFormat="1" x14ac:dyDescent="0.35"/>
    <row r="5952" customFormat="1" x14ac:dyDescent="0.35"/>
    <row r="5953" customFormat="1" x14ac:dyDescent="0.35"/>
    <row r="5954" customFormat="1" x14ac:dyDescent="0.35"/>
    <row r="5955" customFormat="1" x14ac:dyDescent="0.35"/>
    <row r="5956" customFormat="1" x14ac:dyDescent="0.35"/>
    <row r="5957" customFormat="1" x14ac:dyDescent="0.35"/>
    <row r="5958" customFormat="1" x14ac:dyDescent="0.35"/>
    <row r="5959" customFormat="1" x14ac:dyDescent="0.35"/>
    <row r="5960" customFormat="1" x14ac:dyDescent="0.35"/>
    <row r="5961" customFormat="1" x14ac:dyDescent="0.35"/>
    <row r="5962" customFormat="1" x14ac:dyDescent="0.35"/>
    <row r="5963" customFormat="1" x14ac:dyDescent="0.35"/>
    <row r="5964" customFormat="1" x14ac:dyDescent="0.35"/>
    <row r="5965" customFormat="1" x14ac:dyDescent="0.35"/>
    <row r="5966" customFormat="1" x14ac:dyDescent="0.35"/>
    <row r="5967" customFormat="1" x14ac:dyDescent="0.35"/>
    <row r="5968" customFormat="1" x14ac:dyDescent="0.35"/>
    <row r="5969" customFormat="1" x14ac:dyDescent="0.35"/>
    <row r="5970" customFormat="1" x14ac:dyDescent="0.35"/>
    <row r="5971" customFormat="1" x14ac:dyDescent="0.35"/>
    <row r="5972" customFormat="1" x14ac:dyDescent="0.35"/>
    <row r="5973" customFormat="1" x14ac:dyDescent="0.35"/>
    <row r="5974" customFormat="1" x14ac:dyDescent="0.35"/>
    <row r="5975" customFormat="1" x14ac:dyDescent="0.35"/>
    <row r="5976" customFormat="1" x14ac:dyDescent="0.35"/>
    <row r="5977" customFormat="1" x14ac:dyDescent="0.35"/>
    <row r="5978" customFormat="1" x14ac:dyDescent="0.35"/>
    <row r="5979" customFormat="1" x14ac:dyDescent="0.35"/>
    <row r="5980" customFormat="1" x14ac:dyDescent="0.35"/>
    <row r="5981" customFormat="1" x14ac:dyDescent="0.35"/>
    <row r="5982" customFormat="1" x14ac:dyDescent="0.35"/>
    <row r="5983" customFormat="1" x14ac:dyDescent="0.35"/>
    <row r="5984" customFormat="1" x14ac:dyDescent="0.35"/>
    <row r="5985" customFormat="1" x14ac:dyDescent="0.35"/>
    <row r="5986" customFormat="1" x14ac:dyDescent="0.35"/>
    <row r="5987" customFormat="1" x14ac:dyDescent="0.35"/>
    <row r="5988" customFormat="1" x14ac:dyDescent="0.35"/>
    <row r="5989" customFormat="1" x14ac:dyDescent="0.35"/>
    <row r="5990" customFormat="1" x14ac:dyDescent="0.35"/>
    <row r="5991" customFormat="1" x14ac:dyDescent="0.35"/>
    <row r="5992" customFormat="1" x14ac:dyDescent="0.35"/>
    <row r="5993" customFormat="1" x14ac:dyDescent="0.35"/>
    <row r="5994" customFormat="1" x14ac:dyDescent="0.35"/>
    <row r="5995" customFormat="1" x14ac:dyDescent="0.35"/>
    <row r="5996" customFormat="1" x14ac:dyDescent="0.35"/>
    <row r="5997" customFormat="1" x14ac:dyDescent="0.35"/>
    <row r="5998" customFormat="1" x14ac:dyDescent="0.35"/>
    <row r="5999" customFormat="1" x14ac:dyDescent="0.35"/>
    <row r="6000" customFormat="1" x14ac:dyDescent="0.35"/>
    <row r="6001" customFormat="1" x14ac:dyDescent="0.35"/>
    <row r="6002" customFormat="1" x14ac:dyDescent="0.35"/>
    <row r="6003" customFormat="1" x14ac:dyDescent="0.35"/>
    <row r="6004" customFormat="1" x14ac:dyDescent="0.35"/>
    <row r="6005" customFormat="1" x14ac:dyDescent="0.35"/>
    <row r="6006" customFormat="1" x14ac:dyDescent="0.35"/>
    <row r="6007" customFormat="1" x14ac:dyDescent="0.35"/>
    <row r="6008" customFormat="1" x14ac:dyDescent="0.35"/>
    <row r="6009" customFormat="1" x14ac:dyDescent="0.35"/>
    <row r="6010" customFormat="1" x14ac:dyDescent="0.35"/>
    <row r="6011" customFormat="1" x14ac:dyDescent="0.35"/>
    <row r="6012" customFormat="1" x14ac:dyDescent="0.35"/>
    <row r="6013" customFormat="1" x14ac:dyDescent="0.35"/>
    <row r="6014" customFormat="1" x14ac:dyDescent="0.35"/>
    <row r="6015" customFormat="1" x14ac:dyDescent="0.35"/>
    <row r="6016" customFormat="1" x14ac:dyDescent="0.35"/>
    <row r="6017" customFormat="1" x14ac:dyDescent="0.35"/>
    <row r="6018" customFormat="1" x14ac:dyDescent="0.35"/>
    <row r="6019" customFormat="1" x14ac:dyDescent="0.35"/>
    <row r="6020" customFormat="1" x14ac:dyDescent="0.35"/>
    <row r="6021" customFormat="1" x14ac:dyDescent="0.35"/>
    <row r="6022" customFormat="1" x14ac:dyDescent="0.35"/>
    <row r="6023" customFormat="1" x14ac:dyDescent="0.35"/>
    <row r="6024" customFormat="1" x14ac:dyDescent="0.35"/>
    <row r="6025" customFormat="1" x14ac:dyDescent="0.35"/>
    <row r="6026" customFormat="1" x14ac:dyDescent="0.35"/>
    <row r="6027" customFormat="1" x14ac:dyDescent="0.35"/>
    <row r="6028" customFormat="1" x14ac:dyDescent="0.35"/>
    <row r="6029" customFormat="1" x14ac:dyDescent="0.35"/>
    <row r="6030" customFormat="1" x14ac:dyDescent="0.35"/>
    <row r="6031" customFormat="1" x14ac:dyDescent="0.35"/>
    <row r="6032" customFormat="1" x14ac:dyDescent="0.35"/>
    <row r="6033" customFormat="1" x14ac:dyDescent="0.35"/>
    <row r="6034" customFormat="1" x14ac:dyDescent="0.35"/>
    <row r="6035" customFormat="1" x14ac:dyDescent="0.35"/>
    <row r="6036" customFormat="1" x14ac:dyDescent="0.35"/>
    <row r="6037" customFormat="1" x14ac:dyDescent="0.35"/>
    <row r="6038" customFormat="1" x14ac:dyDescent="0.35"/>
    <row r="6039" customFormat="1" x14ac:dyDescent="0.35"/>
    <row r="6040" customFormat="1" x14ac:dyDescent="0.35"/>
    <row r="6041" customFormat="1" x14ac:dyDescent="0.35"/>
    <row r="6042" customFormat="1" x14ac:dyDescent="0.35"/>
    <row r="6043" customFormat="1" x14ac:dyDescent="0.35"/>
    <row r="6044" customFormat="1" x14ac:dyDescent="0.35"/>
    <row r="6045" customFormat="1" x14ac:dyDescent="0.35"/>
    <row r="6046" customFormat="1" x14ac:dyDescent="0.35"/>
    <row r="6047" customFormat="1" x14ac:dyDescent="0.35"/>
    <row r="6048" customFormat="1" x14ac:dyDescent="0.35"/>
    <row r="6049" customFormat="1" x14ac:dyDescent="0.35"/>
    <row r="6050" customFormat="1" x14ac:dyDescent="0.35"/>
    <row r="6051" customFormat="1" x14ac:dyDescent="0.35"/>
    <row r="6052" customFormat="1" x14ac:dyDescent="0.35"/>
    <row r="6053" customFormat="1" x14ac:dyDescent="0.35"/>
    <row r="6054" customFormat="1" x14ac:dyDescent="0.35"/>
    <row r="6055" customFormat="1" x14ac:dyDescent="0.35"/>
    <row r="6056" customFormat="1" x14ac:dyDescent="0.35"/>
    <row r="6057" customFormat="1" x14ac:dyDescent="0.35"/>
    <row r="6058" customFormat="1" x14ac:dyDescent="0.35"/>
    <row r="6059" customFormat="1" x14ac:dyDescent="0.35"/>
    <row r="6060" customFormat="1" x14ac:dyDescent="0.35"/>
    <row r="6061" customFormat="1" x14ac:dyDescent="0.35"/>
    <row r="6062" customFormat="1" x14ac:dyDescent="0.35"/>
    <row r="6063" customFormat="1" x14ac:dyDescent="0.35"/>
    <row r="6064" customFormat="1" x14ac:dyDescent="0.35"/>
    <row r="6065" customFormat="1" x14ac:dyDescent="0.35"/>
    <row r="6066" customFormat="1" x14ac:dyDescent="0.35"/>
    <row r="6067" customFormat="1" x14ac:dyDescent="0.35"/>
    <row r="6068" customFormat="1" x14ac:dyDescent="0.35"/>
    <row r="6069" customFormat="1" x14ac:dyDescent="0.35"/>
    <row r="6070" customFormat="1" x14ac:dyDescent="0.35"/>
    <row r="6071" customFormat="1" x14ac:dyDescent="0.35"/>
    <row r="6072" customFormat="1" x14ac:dyDescent="0.35"/>
    <row r="6073" customFormat="1" x14ac:dyDescent="0.35"/>
    <row r="6074" customFormat="1" x14ac:dyDescent="0.35"/>
    <row r="6075" customFormat="1" x14ac:dyDescent="0.35"/>
    <row r="6076" customFormat="1" x14ac:dyDescent="0.35"/>
    <row r="6077" customFormat="1" x14ac:dyDescent="0.35"/>
    <row r="6078" customFormat="1" x14ac:dyDescent="0.35"/>
    <row r="6079" customFormat="1" x14ac:dyDescent="0.35"/>
    <row r="6080" customFormat="1" x14ac:dyDescent="0.35"/>
    <row r="6081" customFormat="1" x14ac:dyDescent="0.35"/>
    <row r="6082" customFormat="1" x14ac:dyDescent="0.35"/>
    <row r="6083" customFormat="1" x14ac:dyDescent="0.35"/>
    <row r="6084" customFormat="1" x14ac:dyDescent="0.35"/>
    <row r="6085" customFormat="1" x14ac:dyDescent="0.35"/>
    <row r="6086" customFormat="1" x14ac:dyDescent="0.35"/>
    <row r="6087" customFormat="1" x14ac:dyDescent="0.35"/>
    <row r="6088" customFormat="1" x14ac:dyDescent="0.35"/>
    <row r="6089" customFormat="1" x14ac:dyDescent="0.35"/>
    <row r="6090" customFormat="1" x14ac:dyDescent="0.35"/>
    <row r="6091" customFormat="1" x14ac:dyDescent="0.35"/>
    <row r="6092" customFormat="1" x14ac:dyDescent="0.35"/>
    <row r="6093" customFormat="1" x14ac:dyDescent="0.35"/>
    <row r="6094" customFormat="1" x14ac:dyDescent="0.35"/>
    <row r="6095" customFormat="1" x14ac:dyDescent="0.35"/>
    <row r="6096" customFormat="1" x14ac:dyDescent="0.35"/>
    <row r="6097" customFormat="1" x14ac:dyDescent="0.35"/>
    <row r="6098" customFormat="1" x14ac:dyDescent="0.35"/>
    <row r="6099" customFormat="1" x14ac:dyDescent="0.35"/>
    <row r="6100" customFormat="1" x14ac:dyDescent="0.35"/>
    <row r="6101" customFormat="1" x14ac:dyDescent="0.35"/>
    <row r="6102" customFormat="1" x14ac:dyDescent="0.35"/>
    <row r="6103" customFormat="1" x14ac:dyDescent="0.35"/>
    <row r="6104" customFormat="1" x14ac:dyDescent="0.35"/>
    <row r="6105" customFormat="1" x14ac:dyDescent="0.35"/>
    <row r="6106" customFormat="1" x14ac:dyDescent="0.35"/>
    <row r="6107" customFormat="1" x14ac:dyDescent="0.35"/>
    <row r="6108" customFormat="1" x14ac:dyDescent="0.35"/>
    <row r="6109" customFormat="1" x14ac:dyDescent="0.35"/>
    <row r="6110" customFormat="1" x14ac:dyDescent="0.35"/>
    <row r="6111" customFormat="1" x14ac:dyDescent="0.35"/>
    <row r="6112" customFormat="1" x14ac:dyDescent="0.35"/>
    <row r="6113" customFormat="1" x14ac:dyDescent="0.35"/>
    <row r="6114" customFormat="1" x14ac:dyDescent="0.35"/>
    <row r="6115" customFormat="1" x14ac:dyDescent="0.35"/>
    <row r="6116" customFormat="1" x14ac:dyDescent="0.35"/>
    <row r="6117" customFormat="1" x14ac:dyDescent="0.35"/>
    <row r="6118" customFormat="1" x14ac:dyDescent="0.35"/>
    <row r="6119" customFormat="1" x14ac:dyDescent="0.35"/>
    <row r="6120" customFormat="1" x14ac:dyDescent="0.35"/>
    <row r="6121" customFormat="1" x14ac:dyDescent="0.35"/>
    <row r="6122" customFormat="1" x14ac:dyDescent="0.35"/>
    <row r="6123" customFormat="1" x14ac:dyDescent="0.35"/>
    <row r="6124" customFormat="1" x14ac:dyDescent="0.35"/>
    <row r="6125" customFormat="1" x14ac:dyDescent="0.35"/>
    <row r="6126" customFormat="1" x14ac:dyDescent="0.35"/>
    <row r="6127" customFormat="1" x14ac:dyDescent="0.35"/>
    <row r="6128" customFormat="1" x14ac:dyDescent="0.35"/>
    <row r="6129" customFormat="1" x14ac:dyDescent="0.35"/>
    <row r="6130" customFormat="1" x14ac:dyDescent="0.35"/>
    <row r="6131" customFormat="1" x14ac:dyDescent="0.35"/>
    <row r="6132" customFormat="1" x14ac:dyDescent="0.35"/>
    <row r="6133" customFormat="1" x14ac:dyDescent="0.35"/>
    <row r="6134" customFormat="1" x14ac:dyDescent="0.35"/>
    <row r="6135" customFormat="1" x14ac:dyDescent="0.35"/>
    <row r="6136" customFormat="1" x14ac:dyDescent="0.35"/>
    <row r="6137" customFormat="1" x14ac:dyDescent="0.35"/>
    <row r="6138" customFormat="1" x14ac:dyDescent="0.35"/>
    <row r="6139" customFormat="1" x14ac:dyDescent="0.35"/>
    <row r="6140" customFormat="1" x14ac:dyDescent="0.35"/>
    <row r="6141" customFormat="1" x14ac:dyDescent="0.35"/>
    <row r="6142" customFormat="1" x14ac:dyDescent="0.35"/>
    <row r="6143" customFormat="1" x14ac:dyDescent="0.35"/>
    <row r="6144" customFormat="1" x14ac:dyDescent="0.35"/>
    <row r="6145" customFormat="1" x14ac:dyDescent="0.35"/>
    <row r="6146" customFormat="1" x14ac:dyDescent="0.35"/>
    <row r="6147" customFormat="1" x14ac:dyDescent="0.35"/>
    <row r="6148" customFormat="1" x14ac:dyDescent="0.35"/>
    <row r="6149" customFormat="1" x14ac:dyDescent="0.35"/>
    <row r="6150" customFormat="1" x14ac:dyDescent="0.35"/>
    <row r="6151" customFormat="1" x14ac:dyDescent="0.35"/>
    <row r="6152" customFormat="1" x14ac:dyDescent="0.35"/>
    <row r="6153" customFormat="1" x14ac:dyDescent="0.35"/>
    <row r="6154" customFormat="1" x14ac:dyDescent="0.35"/>
    <row r="6155" customFormat="1" x14ac:dyDescent="0.35"/>
    <row r="6156" customFormat="1" x14ac:dyDescent="0.35"/>
    <row r="6157" customFormat="1" x14ac:dyDescent="0.35"/>
    <row r="6158" customFormat="1" x14ac:dyDescent="0.35"/>
    <row r="6159" customFormat="1" x14ac:dyDescent="0.35"/>
    <row r="6160" customFormat="1" x14ac:dyDescent="0.35"/>
    <row r="6161" customFormat="1" x14ac:dyDescent="0.35"/>
    <row r="6162" customFormat="1" x14ac:dyDescent="0.35"/>
    <row r="6163" customFormat="1" x14ac:dyDescent="0.35"/>
    <row r="6164" customFormat="1" x14ac:dyDescent="0.35"/>
    <row r="6165" customFormat="1" x14ac:dyDescent="0.35"/>
    <row r="6166" customFormat="1" x14ac:dyDescent="0.35"/>
    <row r="6167" customFormat="1" x14ac:dyDescent="0.35"/>
    <row r="6168" customFormat="1" x14ac:dyDescent="0.35"/>
    <row r="6169" customFormat="1" x14ac:dyDescent="0.35"/>
    <row r="6170" customFormat="1" x14ac:dyDescent="0.35"/>
    <row r="6171" customFormat="1" x14ac:dyDescent="0.35"/>
    <row r="6172" customFormat="1" x14ac:dyDescent="0.35"/>
    <row r="6173" customFormat="1" x14ac:dyDescent="0.35"/>
    <row r="6174" customFormat="1" x14ac:dyDescent="0.35"/>
    <row r="6175" customFormat="1" x14ac:dyDescent="0.35"/>
    <row r="6176" customFormat="1" x14ac:dyDescent="0.35"/>
    <row r="6177" customFormat="1" x14ac:dyDescent="0.35"/>
    <row r="6178" customFormat="1" x14ac:dyDescent="0.35"/>
    <row r="6179" customFormat="1" x14ac:dyDescent="0.35"/>
    <row r="6180" customFormat="1" x14ac:dyDescent="0.35"/>
    <row r="6181" customFormat="1" x14ac:dyDescent="0.35"/>
    <row r="6182" customFormat="1" x14ac:dyDescent="0.35"/>
    <row r="6183" customFormat="1" x14ac:dyDescent="0.35"/>
    <row r="6184" customFormat="1" x14ac:dyDescent="0.35"/>
    <row r="6185" customFormat="1" x14ac:dyDescent="0.35"/>
    <row r="6186" customFormat="1" x14ac:dyDescent="0.35"/>
    <row r="6187" customFormat="1" x14ac:dyDescent="0.35"/>
    <row r="6188" customFormat="1" x14ac:dyDescent="0.35"/>
    <row r="6189" customFormat="1" x14ac:dyDescent="0.35"/>
    <row r="6190" customFormat="1" x14ac:dyDescent="0.35"/>
    <row r="6191" customFormat="1" x14ac:dyDescent="0.35"/>
    <row r="6192" customFormat="1" x14ac:dyDescent="0.35"/>
    <row r="6193" customFormat="1" x14ac:dyDescent="0.35"/>
    <row r="6194" customFormat="1" x14ac:dyDescent="0.35"/>
    <row r="6195" customFormat="1" x14ac:dyDescent="0.35"/>
    <row r="6196" customFormat="1" x14ac:dyDescent="0.35"/>
    <row r="6197" customFormat="1" x14ac:dyDescent="0.35"/>
    <row r="6198" customFormat="1" x14ac:dyDescent="0.35"/>
    <row r="6199" customFormat="1" x14ac:dyDescent="0.35"/>
    <row r="6200" customFormat="1" x14ac:dyDescent="0.35"/>
    <row r="6201" customFormat="1" x14ac:dyDescent="0.35"/>
    <row r="6202" customFormat="1" x14ac:dyDescent="0.35"/>
    <row r="6203" customFormat="1" x14ac:dyDescent="0.35"/>
    <row r="6204" customFormat="1" x14ac:dyDescent="0.35"/>
    <row r="6205" customFormat="1" x14ac:dyDescent="0.35"/>
    <row r="6206" customFormat="1" x14ac:dyDescent="0.35"/>
    <row r="6207" customFormat="1" x14ac:dyDescent="0.35"/>
    <row r="6208" customFormat="1" x14ac:dyDescent="0.35"/>
    <row r="6209" customFormat="1" x14ac:dyDescent="0.35"/>
    <row r="6210" customFormat="1" x14ac:dyDescent="0.35"/>
    <row r="6211" customFormat="1" x14ac:dyDescent="0.35"/>
    <row r="6212" customFormat="1" x14ac:dyDescent="0.35"/>
    <row r="6213" customFormat="1" x14ac:dyDescent="0.35"/>
    <row r="6214" customFormat="1" x14ac:dyDescent="0.35"/>
    <row r="6215" customFormat="1" x14ac:dyDescent="0.35"/>
    <row r="6216" customFormat="1" x14ac:dyDescent="0.35"/>
    <row r="6217" customFormat="1" x14ac:dyDescent="0.35"/>
    <row r="6218" customFormat="1" x14ac:dyDescent="0.35"/>
    <row r="6219" customFormat="1" x14ac:dyDescent="0.35"/>
    <row r="6220" customFormat="1" x14ac:dyDescent="0.35"/>
    <row r="6221" customFormat="1" x14ac:dyDescent="0.35"/>
    <row r="6222" customFormat="1" x14ac:dyDescent="0.35"/>
    <row r="6223" customFormat="1" x14ac:dyDescent="0.35"/>
    <row r="6224" customFormat="1" x14ac:dyDescent="0.35"/>
    <row r="6225" customFormat="1" x14ac:dyDescent="0.35"/>
    <row r="6226" customFormat="1" x14ac:dyDescent="0.35"/>
    <row r="6227" customFormat="1" x14ac:dyDescent="0.35"/>
    <row r="6228" customFormat="1" x14ac:dyDescent="0.35"/>
    <row r="6229" customFormat="1" x14ac:dyDescent="0.35"/>
    <row r="6230" customFormat="1" x14ac:dyDescent="0.35"/>
    <row r="6231" customFormat="1" x14ac:dyDescent="0.35"/>
    <row r="6232" customFormat="1" x14ac:dyDescent="0.35"/>
    <row r="6233" customFormat="1" x14ac:dyDescent="0.35"/>
    <row r="6234" customFormat="1" x14ac:dyDescent="0.35"/>
    <row r="6235" customFormat="1" x14ac:dyDescent="0.35"/>
    <row r="6236" customFormat="1" x14ac:dyDescent="0.35"/>
    <row r="6237" customFormat="1" x14ac:dyDescent="0.35"/>
    <row r="6238" customFormat="1" x14ac:dyDescent="0.35"/>
    <row r="6239" customFormat="1" x14ac:dyDescent="0.35"/>
    <row r="6240" customFormat="1" x14ac:dyDescent="0.35"/>
    <row r="6241" customFormat="1" x14ac:dyDescent="0.35"/>
    <row r="6242" customFormat="1" x14ac:dyDescent="0.35"/>
    <row r="6243" customFormat="1" x14ac:dyDescent="0.35"/>
    <row r="6244" customFormat="1" x14ac:dyDescent="0.35"/>
    <row r="6245" customFormat="1" x14ac:dyDescent="0.35"/>
    <row r="6246" customFormat="1" x14ac:dyDescent="0.35"/>
    <row r="6247" customFormat="1" x14ac:dyDescent="0.35"/>
    <row r="6248" customFormat="1" x14ac:dyDescent="0.35"/>
    <row r="6249" customFormat="1" x14ac:dyDescent="0.35"/>
    <row r="6250" customFormat="1" x14ac:dyDescent="0.35"/>
    <row r="6251" customFormat="1" x14ac:dyDescent="0.35"/>
    <row r="6252" customFormat="1" x14ac:dyDescent="0.35"/>
    <row r="6253" customFormat="1" x14ac:dyDescent="0.35"/>
    <row r="6254" customFormat="1" x14ac:dyDescent="0.35"/>
    <row r="6255" customFormat="1" x14ac:dyDescent="0.35"/>
    <row r="6256" customFormat="1" x14ac:dyDescent="0.35"/>
    <row r="6257" customFormat="1" x14ac:dyDescent="0.35"/>
    <row r="6258" customFormat="1" x14ac:dyDescent="0.35"/>
    <row r="6259" customFormat="1" x14ac:dyDescent="0.35"/>
    <row r="6260" customFormat="1" x14ac:dyDescent="0.35"/>
    <row r="6261" customFormat="1" x14ac:dyDescent="0.35"/>
    <row r="6262" customFormat="1" x14ac:dyDescent="0.35"/>
    <row r="6263" customFormat="1" x14ac:dyDescent="0.35"/>
    <row r="6264" customFormat="1" x14ac:dyDescent="0.35"/>
    <row r="6265" customFormat="1" x14ac:dyDescent="0.35"/>
    <row r="6266" customFormat="1" x14ac:dyDescent="0.35"/>
    <row r="6267" customFormat="1" x14ac:dyDescent="0.35"/>
    <row r="6268" customFormat="1" x14ac:dyDescent="0.35"/>
    <row r="6269" customFormat="1" x14ac:dyDescent="0.35"/>
    <row r="6270" customFormat="1" x14ac:dyDescent="0.35"/>
    <row r="6271" customFormat="1" x14ac:dyDescent="0.35"/>
    <row r="6272" customFormat="1" x14ac:dyDescent="0.35"/>
    <row r="6273" customFormat="1" x14ac:dyDescent="0.35"/>
    <row r="6274" customFormat="1" x14ac:dyDescent="0.35"/>
    <row r="6275" customFormat="1" x14ac:dyDescent="0.35"/>
    <row r="6276" customFormat="1" x14ac:dyDescent="0.35"/>
    <row r="6277" customFormat="1" x14ac:dyDescent="0.35"/>
    <row r="6278" customFormat="1" x14ac:dyDescent="0.35"/>
    <row r="6279" customFormat="1" x14ac:dyDescent="0.35"/>
    <row r="6280" customFormat="1" x14ac:dyDescent="0.35"/>
    <row r="6281" customFormat="1" x14ac:dyDescent="0.35"/>
    <row r="6282" customFormat="1" x14ac:dyDescent="0.35"/>
    <row r="6283" customFormat="1" x14ac:dyDescent="0.35"/>
    <row r="6284" customFormat="1" x14ac:dyDescent="0.35"/>
    <row r="6285" customFormat="1" x14ac:dyDescent="0.35"/>
    <row r="6286" customFormat="1" x14ac:dyDescent="0.35"/>
    <row r="6287" customFormat="1" x14ac:dyDescent="0.35"/>
    <row r="6288" customFormat="1" x14ac:dyDescent="0.35"/>
    <row r="6289" customFormat="1" x14ac:dyDescent="0.35"/>
    <row r="6290" customFormat="1" x14ac:dyDescent="0.35"/>
    <row r="6291" customFormat="1" x14ac:dyDescent="0.35"/>
    <row r="6292" customFormat="1" x14ac:dyDescent="0.35"/>
    <row r="6293" customFormat="1" x14ac:dyDescent="0.35"/>
    <row r="6294" customFormat="1" x14ac:dyDescent="0.35"/>
    <row r="6295" customFormat="1" x14ac:dyDescent="0.35"/>
    <row r="6296" customFormat="1" x14ac:dyDescent="0.35"/>
    <row r="6297" customFormat="1" x14ac:dyDescent="0.35"/>
    <row r="6298" customFormat="1" x14ac:dyDescent="0.35"/>
    <row r="6299" customFormat="1" x14ac:dyDescent="0.35"/>
    <row r="6300" customFormat="1" x14ac:dyDescent="0.35"/>
    <row r="6301" customFormat="1" x14ac:dyDescent="0.35"/>
    <row r="6302" customFormat="1" x14ac:dyDescent="0.35"/>
    <row r="6303" customFormat="1" x14ac:dyDescent="0.35"/>
    <row r="6304" customFormat="1" x14ac:dyDescent="0.35"/>
    <row r="6305" customFormat="1" x14ac:dyDescent="0.35"/>
    <row r="6306" customFormat="1" x14ac:dyDescent="0.35"/>
    <row r="6307" customFormat="1" x14ac:dyDescent="0.35"/>
    <row r="6308" customFormat="1" x14ac:dyDescent="0.35"/>
    <row r="6309" customFormat="1" x14ac:dyDescent="0.35"/>
    <row r="6310" customFormat="1" x14ac:dyDescent="0.35"/>
    <row r="6311" customFormat="1" x14ac:dyDescent="0.35"/>
    <row r="6312" customFormat="1" x14ac:dyDescent="0.35"/>
    <row r="6313" customFormat="1" x14ac:dyDescent="0.35"/>
    <row r="6314" customFormat="1" x14ac:dyDescent="0.35"/>
    <row r="6315" customFormat="1" x14ac:dyDescent="0.35"/>
    <row r="6316" customFormat="1" x14ac:dyDescent="0.35"/>
    <row r="6317" customFormat="1" x14ac:dyDescent="0.35"/>
    <row r="6318" customFormat="1" x14ac:dyDescent="0.35"/>
    <row r="6319" customFormat="1" x14ac:dyDescent="0.35"/>
    <row r="6320" customFormat="1" x14ac:dyDescent="0.35"/>
    <row r="6321" customFormat="1" x14ac:dyDescent="0.35"/>
    <row r="6322" customFormat="1" x14ac:dyDescent="0.35"/>
    <row r="6323" customFormat="1" x14ac:dyDescent="0.35"/>
    <row r="6324" customFormat="1" x14ac:dyDescent="0.35"/>
    <row r="6325" customFormat="1" x14ac:dyDescent="0.35"/>
    <row r="6326" customFormat="1" x14ac:dyDescent="0.35"/>
    <row r="6327" customFormat="1" x14ac:dyDescent="0.35"/>
    <row r="6328" customFormat="1" x14ac:dyDescent="0.35"/>
    <row r="6329" customFormat="1" x14ac:dyDescent="0.35"/>
    <row r="6330" customFormat="1" x14ac:dyDescent="0.35"/>
    <row r="6331" customFormat="1" x14ac:dyDescent="0.35"/>
    <row r="6332" customFormat="1" x14ac:dyDescent="0.35"/>
    <row r="6333" customFormat="1" x14ac:dyDescent="0.35"/>
    <row r="6334" customFormat="1" x14ac:dyDescent="0.35"/>
    <row r="6335" customFormat="1" x14ac:dyDescent="0.35"/>
    <row r="6336" customFormat="1" x14ac:dyDescent="0.35"/>
    <row r="6337" customFormat="1" x14ac:dyDescent="0.35"/>
    <row r="6338" customFormat="1" x14ac:dyDescent="0.35"/>
    <row r="6339" customFormat="1" x14ac:dyDescent="0.35"/>
    <row r="6340" customFormat="1" x14ac:dyDescent="0.35"/>
    <row r="6341" customFormat="1" x14ac:dyDescent="0.35"/>
    <row r="6342" customFormat="1" x14ac:dyDescent="0.35"/>
    <row r="6343" customFormat="1" x14ac:dyDescent="0.35"/>
    <row r="6344" customFormat="1" x14ac:dyDescent="0.35"/>
    <row r="6345" customFormat="1" x14ac:dyDescent="0.35"/>
    <row r="6346" customFormat="1" x14ac:dyDescent="0.35"/>
    <row r="6347" customFormat="1" x14ac:dyDescent="0.35"/>
    <row r="6348" customFormat="1" x14ac:dyDescent="0.35"/>
    <row r="6349" customFormat="1" x14ac:dyDescent="0.35"/>
    <row r="6350" customFormat="1" x14ac:dyDescent="0.35"/>
    <row r="6351" customFormat="1" x14ac:dyDescent="0.35"/>
    <row r="6352" customFormat="1" x14ac:dyDescent="0.35"/>
    <row r="6353" customFormat="1" x14ac:dyDescent="0.35"/>
    <row r="6354" customFormat="1" x14ac:dyDescent="0.35"/>
    <row r="6355" customFormat="1" x14ac:dyDescent="0.35"/>
    <row r="6356" customFormat="1" x14ac:dyDescent="0.35"/>
    <row r="6357" customFormat="1" x14ac:dyDescent="0.35"/>
    <row r="6358" customFormat="1" x14ac:dyDescent="0.35"/>
    <row r="6359" customFormat="1" x14ac:dyDescent="0.35"/>
    <row r="6360" customFormat="1" x14ac:dyDescent="0.35"/>
    <row r="6361" customFormat="1" x14ac:dyDescent="0.35"/>
    <row r="6362" customFormat="1" x14ac:dyDescent="0.35"/>
    <row r="6363" customFormat="1" x14ac:dyDescent="0.35"/>
    <row r="6364" customFormat="1" x14ac:dyDescent="0.35"/>
    <row r="6365" customFormat="1" x14ac:dyDescent="0.35"/>
    <row r="6366" customFormat="1" x14ac:dyDescent="0.35"/>
    <row r="6367" customFormat="1" x14ac:dyDescent="0.35"/>
    <row r="6368" customFormat="1" x14ac:dyDescent="0.35"/>
    <row r="6369" customFormat="1" x14ac:dyDescent="0.35"/>
    <row r="6370" customFormat="1" x14ac:dyDescent="0.35"/>
    <row r="6371" customFormat="1" x14ac:dyDescent="0.35"/>
    <row r="6372" customFormat="1" x14ac:dyDescent="0.35"/>
    <row r="6373" customFormat="1" x14ac:dyDescent="0.35"/>
    <row r="6374" customFormat="1" x14ac:dyDescent="0.35"/>
    <row r="6375" customFormat="1" x14ac:dyDescent="0.35"/>
    <row r="6376" customFormat="1" x14ac:dyDescent="0.35"/>
    <row r="6377" customFormat="1" x14ac:dyDescent="0.35"/>
    <row r="6378" customFormat="1" x14ac:dyDescent="0.35"/>
    <row r="6379" customFormat="1" x14ac:dyDescent="0.35"/>
    <row r="6380" customFormat="1" x14ac:dyDescent="0.35"/>
    <row r="6381" customFormat="1" x14ac:dyDescent="0.35"/>
    <row r="6382" customFormat="1" x14ac:dyDescent="0.35"/>
    <row r="6383" customFormat="1" x14ac:dyDescent="0.35"/>
    <row r="6384" customFormat="1" x14ac:dyDescent="0.35"/>
    <row r="6385" customFormat="1" x14ac:dyDescent="0.35"/>
    <row r="6386" customFormat="1" x14ac:dyDescent="0.35"/>
    <row r="6387" customFormat="1" x14ac:dyDescent="0.35"/>
    <row r="6388" customFormat="1" x14ac:dyDescent="0.35"/>
    <row r="6389" customFormat="1" x14ac:dyDescent="0.35"/>
    <row r="6390" customFormat="1" x14ac:dyDescent="0.35"/>
    <row r="6391" customFormat="1" x14ac:dyDescent="0.35"/>
    <row r="6392" customFormat="1" x14ac:dyDescent="0.35"/>
    <row r="6393" customFormat="1" x14ac:dyDescent="0.35"/>
    <row r="6394" customFormat="1" x14ac:dyDescent="0.35"/>
    <row r="6395" customFormat="1" x14ac:dyDescent="0.35"/>
    <row r="6396" customFormat="1" x14ac:dyDescent="0.35"/>
    <row r="6397" customFormat="1" x14ac:dyDescent="0.35"/>
    <row r="6398" customFormat="1" x14ac:dyDescent="0.35"/>
    <row r="6399" customFormat="1" x14ac:dyDescent="0.35"/>
    <row r="6400" customFormat="1" x14ac:dyDescent="0.35"/>
    <row r="6401" customFormat="1" x14ac:dyDescent="0.35"/>
    <row r="6402" customFormat="1" x14ac:dyDescent="0.35"/>
    <row r="6403" customFormat="1" x14ac:dyDescent="0.35"/>
    <row r="6404" customFormat="1" x14ac:dyDescent="0.35"/>
    <row r="6405" customFormat="1" x14ac:dyDescent="0.35"/>
    <row r="6406" customFormat="1" x14ac:dyDescent="0.35"/>
    <row r="6407" customFormat="1" x14ac:dyDescent="0.35"/>
    <row r="6408" customFormat="1" x14ac:dyDescent="0.35"/>
    <row r="6409" customFormat="1" x14ac:dyDescent="0.35"/>
    <row r="6410" customFormat="1" x14ac:dyDescent="0.35"/>
    <row r="6411" customFormat="1" x14ac:dyDescent="0.35"/>
    <row r="6412" customFormat="1" x14ac:dyDescent="0.35"/>
    <row r="6413" customFormat="1" x14ac:dyDescent="0.35"/>
    <row r="6414" customFormat="1" x14ac:dyDescent="0.35"/>
    <row r="6415" customFormat="1" x14ac:dyDescent="0.35"/>
    <row r="6416" customFormat="1" x14ac:dyDescent="0.35"/>
    <row r="6417" customFormat="1" x14ac:dyDescent="0.35"/>
    <row r="6418" customFormat="1" x14ac:dyDescent="0.35"/>
    <row r="6419" customFormat="1" x14ac:dyDescent="0.35"/>
    <row r="6420" customFormat="1" x14ac:dyDescent="0.35"/>
    <row r="6421" customFormat="1" x14ac:dyDescent="0.35"/>
    <row r="6422" customFormat="1" x14ac:dyDescent="0.35"/>
    <row r="6423" customFormat="1" x14ac:dyDescent="0.35"/>
    <row r="6424" customFormat="1" x14ac:dyDescent="0.35"/>
    <row r="6425" customFormat="1" x14ac:dyDescent="0.35"/>
    <row r="6426" customFormat="1" x14ac:dyDescent="0.35"/>
    <row r="6427" customFormat="1" x14ac:dyDescent="0.35"/>
    <row r="6428" customFormat="1" x14ac:dyDescent="0.35"/>
    <row r="6429" customFormat="1" x14ac:dyDescent="0.35"/>
    <row r="6430" customFormat="1" x14ac:dyDescent="0.35"/>
    <row r="6431" customFormat="1" x14ac:dyDescent="0.35"/>
    <row r="6432" customFormat="1" x14ac:dyDescent="0.35"/>
    <row r="6433" customFormat="1" x14ac:dyDescent="0.35"/>
    <row r="6434" customFormat="1" x14ac:dyDescent="0.35"/>
    <row r="6435" customFormat="1" x14ac:dyDescent="0.35"/>
    <row r="6436" customFormat="1" x14ac:dyDescent="0.35"/>
    <row r="6437" customFormat="1" x14ac:dyDescent="0.35"/>
    <row r="6438" customFormat="1" x14ac:dyDescent="0.35"/>
    <row r="6439" customFormat="1" x14ac:dyDescent="0.35"/>
    <row r="6440" customFormat="1" x14ac:dyDescent="0.35"/>
    <row r="6441" customFormat="1" x14ac:dyDescent="0.35"/>
    <row r="6442" customFormat="1" x14ac:dyDescent="0.35"/>
    <row r="6443" customFormat="1" x14ac:dyDescent="0.35"/>
    <row r="6444" customFormat="1" x14ac:dyDescent="0.35"/>
    <row r="6445" customFormat="1" x14ac:dyDescent="0.35"/>
    <row r="6446" customFormat="1" x14ac:dyDescent="0.35"/>
    <row r="6447" customFormat="1" x14ac:dyDescent="0.35"/>
    <row r="6448" customFormat="1" x14ac:dyDescent="0.35"/>
    <row r="6449" customFormat="1" x14ac:dyDescent="0.35"/>
    <row r="6450" customFormat="1" x14ac:dyDescent="0.35"/>
    <row r="6451" customFormat="1" x14ac:dyDescent="0.35"/>
    <row r="6452" customFormat="1" x14ac:dyDescent="0.35"/>
    <row r="6453" customFormat="1" x14ac:dyDescent="0.35"/>
    <row r="6454" customFormat="1" x14ac:dyDescent="0.35"/>
    <row r="6455" customFormat="1" x14ac:dyDescent="0.35"/>
    <row r="6456" customFormat="1" x14ac:dyDescent="0.35"/>
    <row r="6457" customFormat="1" x14ac:dyDescent="0.35"/>
    <row r="6458" customFormat="1" x14ac:dyDescent="0.35"/>
    <row r="6459" customFormat="1" x14ac:dyDescent="0.35"/>
    <row r="6460" customFormat="1" x14ac:dyDescent="0.35"/>
    <row r="6461" customFormat="1" x14ac:dyDescent="0.35"/>
    <row r="6462" customFormat="1" x14ac:dyDescent="0.35"/>
    <row r="6463" customFormat="1" x14ac:dyDescent="0.35"/>
    <row r="6464" customFormat="1" x14ac:dyDescent="0.35"/>
    <row r="6465" customFormat="1" x14ac:dyDescent="0.35"/>
    <row r="6466" customFormat="1" x14ac:dyDescent="0.35"/>
    <row r="6467" customFormat="1" x14ac:dyDescent="0.35"/>
    <row r="6468" customFormat="1" x14ac:dyDescent="0.35"/>
    <row r="6469" customFormat="1" x14ac:dyDescent="0.35"/>
    <row r="6470" customFormat="1" x14ac:dyDescent="0.35"/>
    <row r="6471" customFormat="1" x14ac:dyDescent="0.35"/>
    <row r="6472" customFormat="1" x14ac:dyDescent="0.35"/>
    <row r="6473" customFormat="1" x14ac:dyDescent="0.35"/>
    <row r="6474" customFormat="1" x14ac:dyDescent="0.35"/>
    <row r="6475" customFormat="1" x14ac:dyDescent="0.35"/>
    <row r="6476" customFormat="1" x14ac:dyDescent="0.35"/>
    <row r="6477" customFormat="1" x14ac:dyDescent="0.35"/>
    <row r="6478" customFormat="1" x14ac:dyDescent="0.35"/>
    <row r="6479" customFormat="1" x14ac:dyDescent="0.35"/>
    <row r="6480" customFormat="1" x14ac:dyDescent="0.35"/>
    <row r="6481" customFormat="1" x14ac:dyDescent="0.35"/>
    <row r="6482" customFormat="1" x14ac:dyDescent="0.35"/>
    <row r="6483" customFormat="1" x14ac:dyDescent="0.35"/>
    <row r="6484" customFormat="1" x14ac:dyDescent="0.35"/>
    <row r="6485" customFormat="1" x14ac:dyDescent="0.35"/>
    <row r="6486" customFormat="1" x14ac:dyDescent="0.35"/>
    <row r="6487" customFormat="1" x14ac:dyDescent="0.35"/>
    <row r="6488" customFormat="1" x14ac:dyDescent="0.35"/>
    <row r="6489" customFormat="1" x14ac:dyDescent="0.35"/>
    <row r="6490" customFormat="1" x14ac:dyDescent="0.35"/>
    <row r="6491" customFormat="1" x14ac:dyDescent="0.35"/>
    <row r="6492" customFormat="1" x14ac:dyDescent="0.35"/>
    <row r="6493" customFormat="1" x14ac:dyDescent="0.35"/>
    <row r="6494" customFormat="1" x14ac:dyDescent="0.35"/>
    <row r="6495" customFormat="1" x14ac:dyDescent="0.35"/>
    <row r="6496" customFormat="1" x14ac:dyDescent="0.35"/>
    <row r="6497" customFormat="1" x14ac:dyDescent="0.35"/>
    <row r="6498" customFormat="1" x14ac:dyDescent="0.35"/>
    <row r="6499" customFormat="1" x14ac:dyDescent="0.35"/>
    <row r="6500" customFormat="1" x14ac:dyDescent="0.35"/>
    <row r="6501" customFormat="1" x14ac:dyDescent="0.35"/>
    <row r="6502" customFormat="1" x14ac:dyDescent="0.35"/>
    <row r="6503" customFormat="1" x14ac:dyDescent="0.35"/>
    <row r="6504" customFormat="1" x14ac:dyDescent="0.35"/>
    <row r="6505" customFormat="1" x14ac:dyDescent="0.35"/>
    <row r="6506" customFormat="1" x14ac:dyDescent="0.35"/>
    <row r="6507" customFormat="1" x14ac:dyDescent="0.35"/>
    <row r="6508" customFormat="1" x14ac:dyDescent="0.35"/>
    <row r="6509" customFormat="1" x14ac:dyDescent="0.35"/>
    <row r="6510" customFormat="1" x14ac:dyDescent="0.35"/>
    <row r="6511" customFormat="1" x14ac:dyDescent="0.35"/>
    <row r="6512" customFormat="1" x14ac:dyDescent="0.35"/>
    <row r="6513" customFormat="1" x14ac:dyDescent="0.35"/>
    <row r="6514" customFormat="1" x14ac:dyDescent="0.35"/>
    <row r="6515" customFormat="1" x14ac:dyDescent="0.35"/>
    <row r="6516" customFormat="1" x14ac:dyDescent="0.35"/>
    <row r="6517" customFormat="1" x14ac:dyDescent="0.35"/>
    <row r="6518" customFormat="1" x14ac:dyDescent="0.35"/>
    <row r="6519" customFormat="1" x14ac:dyDescent="0.35"/>
    <row r="6520" customFormat="1" x14ac:dyDescent="0.35"/>
    <row r="6521" customFormat="1" x14ac:dyDescent="0.35"/>
    <row r="6522" customFormat="1" x14ac:dyDescent="0.35"/>
    <row r="6523" customFormat="1" x14ac:dyDescent="0.35"/>
    <row r="6524" customFormat="1" x14ac:dyDescent="0.35"/>
    <row r="6525" customFormat="1" x14ac:dyDescent="0.35"/>
    <row r="6526" customFormat="1" x14ac:dyDescent="0.35"/>
    <row r="6527" customFormat="1" x14ac:dyDescent="0.35"/>
    <row r="6528" customFormat="1" x14ac:dyDescent="0.35"/>
    <row r="6529" customFormat="1" x14ac:dyDescent="0.35"/>
    <row r="6530" customFormat="1" x14ac:dyDescent="0.35"/>
    <row r="6531" customFormat="1" x14ac:dyDescent="0.35"/>
    <row r="6532" customFormat="1" x14ac:dyDescent="0.35"/>
    <row r="6533" customFormat="1" x14ac:dyDescent="0.35"/>
    <row r="6534" customFormat="1" x14ac:dyDescent="0.35"/>
    <row r="6535" customFormat="1" x14ac:dyDescent="0.35"/>
    <row r="6536" customFormat="1" x14ac:dyDescent="0.35"/>
    <row r="6537" customFormat="1" x14ac:dyDescent="0.35"/>
    <row r="6538" customFormat="1" x14ac:dyDescent="0.35"/>
    <row r="6539" customFormat="1" x14ac:dyDescent="0.35"/>
    <row r="6540" customFormat="1" x14ac:dyDescent="0.35"/>
    <row r="6541" customFormat="1" x14ac:dyDescent="0.35"/>
    <row r="6542" customFormat="1" x14ac:dyDescent="0.35"/>
    <row r="6543" customFormat="1" x14ac:dyDescent="0.35"/>
    <row r="6544" customFormat="1" x14ac:dyDescent="0.35"/>
    <row r="6545" customFormat="1" x14ac:dyDescent="0.35"/>
    <row r="6546" customFormat="1" x14ac:dyDescent="0.35"/>
    <row r="6547" customFormat="1" x14ac:dyDescent="0.35"/>
    <row r="6548" customFormat="1" x14ac:dyDescent="0.35"/>
    <row r="6549" customFormat="1" x14ac:dyDescent="0.35"/>
    <row r="6550" customFormat="1" x14ac:dyDescent="0.35"/>
    <row r="6551" customFormat="1" x14ac:dyDescent="0.35"/>
    <row r="6552" customFormat="1" x14ac:dyDescent="0.35"/>
    <row r="6553" customFormat="1" x14ac:dyDescent="0.35"/>
    <row r="6554" customFormat="1" x14ac:dyDescent="0.35"/>
    <row r="6555" customFormat="1" x14ac:dyDescent="0.35"/>
    <row r="6556" customFormat="1" x14ac:dyDescent="0.35"/>
    <row r="6557" customFormat="1" x14ac:dyDescent="0.35"/>
    <row r="6558" customFormat="1" x14ac:dyDescent="0.35"/>
    <row r="6559" customFormat="1" x14ac:dyDescent="0.35"/>
    <row r="6560" customFormat="1" x14ac:dyDescent="0.35"/>
    <row r="6561" customFormat="1" x14ac:dyDescent="0.35"/>
    <row r="6562" customFormat="1" x14ac:dyDescent="0.35"/>
    <row r="6563" customFormat="1" x14ac:dyDescent="0.35"/>
    <row r="6564" customFormat="1" x14ac:dyDescent="0.35"/>
    <row r="6565" customFormat="1" x14ac:dyDescent="0.35"/>
    <row r="6566" customFormat="1" x14ac:dyDescent="0.35"/>
    <row r="6567" customFormat="1" x14ac:dyDescent="0.35"/>
    <row r="6568" customFormat="1" x14ac:dyDescent="0.35"/>
    <row r="6569" customFormat="1" x14ac:dyDescent="0.35"/>
    <row r="6570" customFormat="1" x14ac:dyDescent="0.35"/>
    <row r="6571" customFormat="1" x14ac:dyDescent="0.35"/>
    <row r="6572" customFormat="1" x14ac:dyDescent="0.35"/>
    <row r="6573" customFormat="1" x14ac:dyDescent="0.35"/>
    <row r="6574" customFormat="1" x14ac:dyDescent="0.35"/>
    <row r="6575" customFormat="1" x14ac:dyDescent="0.35"/>
    <row r="6576" customFormat="1" x14ac:dyDescent="0.35"/>
    <row r="6577" customFormat="1" x14ac:dyDescent="0.35"/>
    <row r="6578" customFormat="1" x14ac:dyDescent="0.35"/>
    <row r="6579" customFormat="1" x14ac:dyDescent="0.35"/>
    <row r="6580" customFormat="1" x14ac:dyDescent="0.35"/>
    <row r="6581" customFormat="1" x14ac:dyDescent="0.35"/>
    <row r="6582" customFormat="1" x14ac:dyDescent="0.35"/>
    <row r="6583" customFormat="1" x14ac:dyDescent="0.35"/>
    <row r="6584" customFormat="1" x14ac:dyDescent="0.35"/>
    <row r="6585" customFormat="1" x14ac:dyDescent="0.35"/>
    <row r="6586" customFormat="1" x14ac:dyDescent="0.35"/>
    <row r="6587" customFormat="1" x14ac:dyDescent="0.35"/>
    <row r="6588" customFormat="1" x14ac:dyDescent="0.35"/>
    <row r="6589" customFormat="1" x14ac:dyDescent="0.35"/>
    <row r="6590" customFormat="1" x14ac:dyDescent="0.35"/>
    <row r="6591" customFormat="1" x14ac:dyDescent="0.35"/>
    <row r="6592" customFormat="1" x14ac:dyDescent="0.35"/>
    <row r="6593" customFormat="1" x14ac:dyDescent="0.35"/>
    <row r="6594" customFormat="1" x14ac:dyDescent="0.35"/>
    <row r="6595" customFormat="1" x14ac:dyDescent="0.35"/>
    <row r="6596" customFormat="1" x14ac:dyDescent="0.35"/>
    <row r="6597" customFormat="1" x14ac:dyDescent="0.35"/>
    <row r="6598" customFormat="1" x14ac:dyDescent="0.35"/>
    <row r="6599" customFormat="1" x14ac:dyDescent="0.35"/>
    <row r="6600" customFormat="1" x14ac:dyDescent="0.35"/>
    <row r="6601" customFormat="1" x14ac:dyDescent="0.35"/>
    <row r="6602" customFormat="1" x14ac:dyDescent="0.35"/>
    <row r="6603" customFormat="1" x14ac:dyDescent="0.35"/>
    <row r="6604" customFormat="1" x14ac:dyDescent="0.35"/>
    <row r="6605" customFormat="1" x14ac:dyDescent="0.35"/>
    <row r="6606" customFormat="1" x14ac:dyDescent="0.35"/>
    <row r="6607" customFormat="1" x14ac:dyDescent="0.35"/>
    <row r="6608" customFormat="1" x14ac:dyDescent="0.35"/>
    <row r="6609" customFormat="1" x14ac:dyDescent="0.35"/>
    <row r="6610" customFormat="1" x14ac:dyDescent="0.35"/>
    <row r="6611" customFormat="1" x14ac:dyDescent="0.35"/>
    <row r="6612" customFormat="1" x14ac:dyDescent="0.35"/>
    <row r="6613" customFormat="1" x14ac:dyDescent="0.35"/>
    <row r="6614" customFormat="1" x14ac:dyDescent="0.35"/>
    <row r="6615" customFormat="1" x14ac:dyDescent="0.35"/>
    <row r="6616" customFormat="1" x14ac:dyDescent="0.35"/>
    <row r="6617" customFormat="1" x14ac:dyDescent="0.35"/>
    <row r="6618" customFormat="1" x14ac:dyDescent="0.35"/>
    <row r="6619" customFormat="1" x14ac:dyDescent="0.35"/>
    <row r="6620" customFormat="1" x14ac:dyDescent="0.35"/>
    <row r="6621" customFormat="1" x14ac:dyDescent="0.35"/>
    <row r="6622" customFormat="1" x14ac:dyDescent="0.35"/>
    <row r="6623" customFormat="1" x14ac:dyDescent="0.35"/>
    <row r="6624" customFormat="1" x14ac:dyDescent="0.35"/>
    <row r="6625" customFormat="1" x14ac:dyDescent="0.35"/>
    <row r="6626" customFormat="1" x14ac:dyDescent="0.35"/>
    <row r="6627" customFormat="1" x14ac:dyDescent="0.35"/>
    <row r="6628" customFormat="1" x14ac:dyDescent="0.35"/>
    <row r="6629" customFormat="1" x14ac:dyDescent="0.35"/>
    <row r="6630" customFormat="1" x14ac:dyDescent="0.35"/>
    <row r="6631" customFormat="1" x14ac:dyDescent="0.35"/>
    <row r="6632" customFormat="1" x14ac:dyDescent="0.35"/>
    <row r="6633" customFormat="1" x14ac:dyDescent="0.35"/>
    <row r="6634" customFormat="1" x14ac:dyDescent="0.35"/>
    <row r="6635" customFormat="1" x14ac:dyDescent="0.35"/>
    <row r="6636" customFormat="1" x14ac:dyDescent="0.35"/>
    <row r="6637" customFormat="1" x14ac:dyDescent="0.35"/>
    <row r="6638" customFormat="1" x14ac:dyDescent="0.35"/>
    <row r="6639" customFormat="1" x14ac:dyDescent="0.35"/>
    <row r="6640" customFormat="1" x14ac:dyDescent="0.35"/>
    <row r="6641" customFormat="1" x14ac:dyDescent="0.35"/>
    <row r="6642" customFormat="1" x14ac:dyDescent="0.35"/>
    <row r="6643" customFormat="1" x14ac:dyDescent="0.35"/>
    <row r="6644" customFormat="1" x14ac:dyDescent="0.35"/>
    <row r="6645" customFormat="1" x14ac:dyDescent="0.35"/>
    <row r="6646" customFormat="1" x14ac:dyDescent="0.35"/>
    <row r="6647" customFormat="1" x14ac:dyDescent="0.35"/>
    <row r="6648" customFormat="1" x14ac:dyDescent="0.35"/>
    <row r="6649" customFormat="1" x14ac:dyDescent="0.35"/>
    <row r="6650" customFormat="1" x14ac:dyDescent="0.35"/>
    <row r="6651" customFormat="1" x14ac:dyDescent="0.35"/>
    <row r="6652" customFormat="1" x14ac:dyDescent="0.35"/>
    <row r="6653" customFormat="1" x14ac:dyDescent="0.35"/>
    <row r="6654" customFormat="1" x14ac:dyDescent="0.35"/>
    <row r="6655" customFormat="1" x14ac:dyDescent="0.35"/>
    <row r="6656" customFormat="1" x14ac:dyDescent="0.35"/>
    <row r="6657" customFormat="1" x14ac:dyDescent="0.35"/>
    <row r="6658" customFormat="1" x14ac:dyDescent="0.35"/>
    <row r="6659" customFormat="1" x14ac:dyDescent="0.35"/>
    <row r="6660" customFormat="1" x14ac:dyDescent="0.35"/>
    <row r="6661" customFormat="1" x14ac:dyDescent="0.35"/>
    <row r="6662" customFormat="1" x14ac:dyDescent="0.35"/>
    <row r="6663" customFormat="1" x14ac:dyDescent="0.35"/>
    <row r="6664" customFormat="1" x14ac:dyDescent="0.35"/>
    <row r="6665" customFormat="1" x14ac:dyDescent="0.35"/>
    <row r="6666" customFormat="1" x14ac:dyDescent="0.35"/>
    <row r="6667" customFormat="1" x14ac:dyDescent="0.35"/>
    <row r="6668" customFormat="1" x14ac:dyDescent="0.35"/>
    <row r="6669" customFormat="1" x14ac:dyDescent="0.35"/>
    <row r="6670" customFormat="1" x14ac:dyDescent="0.35"/>
    <row r="6671" customFormat="1" x14ac:dyDescent="0.35"/>
    <row r="6672" customFormat="1" x14ac:dyDescent="0.35"/>
    <row r="6673" customFormat="1" x14ac:dyDescent="0.35"/>
    <row r="6674" customFormat="1" x14ac:dyDescent="0.35"/>
    <row r="6675" customFormat="1" x14ac:dyDescent="0.35"/>
    <row r="6676" customFormat="1" x14ac:dyDescent="0.35"/>
    <row r="6677" customFormat="1" x14ac:dyDescent="0.35"/>
    <row r="6678" customFormat="1" x14ac:dyDescent="0.35"/>
    <row r="6679" customFormat="1" x14ac:dyDescent="0.35"/>
    <row r="6680" customFormat="1" x14ac:dyDescent="0.35"/>
    <row r="6681" customFormat="1" x14ac:dyDescent="0.35"/>
    <row r="6682" customFormat="1" x14ac:dyDescent="0.35"/>
    <row r="6683" customFormat="1" x14ac:dyDescent="0.35"/>
    <row r="6684" customFormat="1" x14ac:dyDescent="0.35"/>
    <row r="6685" customFormat="1" x14ac:dyDescent="0.35"/>
    <row r="6686" customFormat="1" x14ac:dyDescent="0.35"/>
    <row r="6687" customFormat="1" x14ac:dyDescent="0.35"/>
    <row r="6688" customFormat="1" x14ac:dyDescent="0.35"/>
    <row r="6689" customFormat="1" x14ac:dyDescent="0.35"/>
    <row r="6690" customFormat="1" x14ac:dyDescent="0.35"/>
    <row r="6691" customFormat="1" x14ac:dyDescent="0.35"/>
    <row r="6692" customFormat="1" x14ac:dyDescent="0.35"/>
    <row r="6693" customFormat="1" x14ac:dyDescent="0.35"/>
    <row r="6694" customFormat="1" x14ac:dyDescent="0.35"/>
    <row r="6695" customFormat="1" x14ac:dyDescent="0.35"/>
    <row r="6696" customFormat="1" x14ac:dyDescent="0.35"/>
    <row r="6697" customFormat="1" x14ac:dyDescent="0.35"/>
    <row r="6698" customFormat="1" x14ac:dyDescent="0.35"/>
    <row r="6699" customFormat="1" x14ac:dyDescent="0.35"/>
    <row r="6700" customFormat="1" x14ac:dyDescent="0.35"/>
    <row r="6701" customFormat="1" x14ac:dyDescent="0.35"/>
    <row r="6702" customFormat="1" x14ac:dyDescent="0.35"/>
    <row r="6703" customFormat="1" x14ac:dyDescent="0.35"/>
    <row r="6704" customFormat="1" x14ac:dyDescent="0.35"/>
    <row r="6705" customFormat="1" x14ac:dyDescent="0.35"/>
    <row r="6706" customFormat="1" x14ac:dyDescent="0.35"/>
    <row r="6707" customFormat="1" x14ac:dyDescent="0.35"/>
    <row r="6708" customFormat="1" x14ac:dyDescent="0.35"/>
    <row r="6709" customFormat="1" x14ac:dyDescent="0.35"/>
    <row r="6710" customFormat="1" x14ac:dyDescent="0.35"/>
    <row r="6711" customFormat="1" x14ac:dyDescent="0.35"/>
    <row r="6712" customFormat="1" x14ac:dyDescent="0.35"/>
    <row r="6713" customFormat="1" x14ac:dyDescent="0.35"/>
    <row r="6714" customFormat="1" x14ac:dyDescent="0.35"/>
    <row r="6715" customFormat="1" x14ac:dyDescent="0.35"/>
    <row r="6716" customFormat="1" x14ac:dyDescent="0.35"/>
    <row r="6717" customFormat="1" x14ac:dyDescent="0.35"/>
    <row r="6718" customFormat="1" x14ac:dyDescent="0.35"/>
    <row r="6719" customFormat="1" x14ac:dyDescent="0.35"/>
    <row r="6720" customFormat="1" x14ac:dyDescent="0.35"/>
    <row r="6721" customFormat="1" x14ac:dyDescent="0.35"/>
    <row r="6722" customFormat="1" x14ac:dyDescent="0.35"/>
    <row r="6723" customFormat="1" x14ac:dyDescent="0.35"/>
    <row r="6724" customFormat="1" x14ac:dyDescent="0.35"/>
    <row r="6725" customFormat="1" x14ac:dyDescent="0.35"/>
    <row r="6726" customFormat="1" x14ac:dyDescent="0.35"/>
    <row r="6727" customFormat="1" x14ac:dyDescent="0.35"/>
    <row r="6728" customFormat="1" x14ac:dyDescent="0.35"/>
    <row r="6729" customFormat="1" x14ac:dyDescent="0.35"/>
    <row r="6730" customFormat="1" x14ac:dyDescent="0.35"/>
    <row r="6731" customFormat="1" x14ac:dyDescent="0.35"/>
    <row r="6732" customFormat="1" x14ac:dyDescent="0.35"/>
    <row r="6733" customFormat="1" x14ac:dyDescent="0.35"/>
    <row r="6734" customFormat="1" x14ac:dyDescent="0.35"/>
    <row r="6735" customFormat="1" x14ac:dyDescent="0.35"/>
    <row r="6736" customFormat="1" x14ac:dyDescent="0.35"/>
    <row r="6737" customFormat="1" x14ac:dyDescent="0.35"/>
    <row r="6738" customFormat="1" x14ac:dyDescent="0.35"/>
    <row r="6739" customFormat="1" x14ac:dyDescent="0.35"/>
    <row r="6740" customFormat="1" x14ac:dyDescent="0.35"/>
    <row r="6741" customFormat="1" x14ac:dyDescent="0.35"/>
    <row r="6742" customFormat="1" x14ac:dyDescent="0.35"/>
    <row r="6743" customFormat="1" x14ac:dyDescent="0.35"/>
    <row r="6744" customFormat="1" x14ac:dyDescent="0.35"/>
    <row r="6745" customFormat="1" x14ac:dyDescent="0.35"/>
    <row r="6746" customFormat="1" x14ac:dyDescent="0.35"/>
    <row r="6747" customFormat="1" x14ac:dyDescent="0.35"/>
    <row r="6748" customFormat="1" x14ac:dyDescent="0.35"/>
    <row r="6749" customFormat="1" x14ac:dyDescent="0.35"/>
    <row r="6750" customFormat="1" x14ac:dyDescent="0.35"/>
    <row r="6751" customFormat="1" x14ac:dyDescent="0.35"/>
    <row r="6752" customFormat="1" x14ac:dyDescent="0.35"/>
    <row r="6753" customFormat="1" x14ac:dyDescent="0.35"/>
    <row r="6754" customFormat="1" x14ac:dyDescent="0.35"/>
    <row r="6755" customFormat="1" x14ac:dyDescent="0.35"/>
    <row r="6756" customFormat="1" x14ac:dyDescent="0.35"/>
    <row r="6757" customFormat="1" x14ac:dyDescent="0.35"/>
    <row r="6758" customFormat="1" x14ac:dyDescent="0.35"/>
    <row r="6759" customFormat="1" x14ac:dyDescent="0.35"/>
    <row r="6760" customFormat="1" x14ac:dyDescent="0.35"/>
    <row r="6761" customFormat="1" x14ac:dyDescent="0.35"/>
    <row r="6762" customFormat="1" x14ac:dyDescent="0.35"/>
    <row r="6763" customFormat="1" x14ac:dyDescent="0.35"/>
    <row r="6764" customFormat="1" x14ac:dyDescent="0.35"/>
    <row r="6765" customFormat="1" x14ac:dyDescent="0.35"/>
    <row r="6766" customFormat="1" x14ac:dyDescent="0.35"/>
    <row r="6767" customFormat="1" x14ac:dyDescent="0.35"/>
    <row r="6768" customFormat="1" x14ac:dyDescent="0.35"/>
    <row r="6769" customFormat="1" x14ac:dyDescent="0.35"/>
    <row r="6770" customFormat="1" x14ac:dyDescent="0.35"/>
    <row r="6771" customFormat="1" x14ac:dyDescent="0.35"/>
    <row r="6772" customFormat="1" x14ac:dyDescent="0.35"/>
    <row r="6773" customFormat="1" x14ac:dyDescent="0.35"/>
    <row r="6774" customFormat="1" x14ac:dyDescent="0.35"/>
    <row r="6775" customFormat="1" x14ac:dyDescent="0.35"/>
    <row r="6776" customFormat="1" x14ac:dyDescent="0.35"/>
    <row r="6777" customFormat="1" x14ac:dyDescent="0.35"/>
    <row r="6778" customFormat="1" x14ac:dyDescent="0.35"/>
    <row r="6779" customFormat="1" x14ac:dyDescent="0.35"/>
    <row r="6780" customFormat="1" x14ac:dyDescent="0.35"/>
    <row r="6781" customFormat="1" x14ac:dyDescent="0.35"/>
    <row r="6782" customFormat="1" x14ac:dyDescent="0.35"/>
    <row r="6783" customFormat="1" x14ac:dyDescent="0.35"/>
    <row r="6784" customFormat="1" x14ac:dyDescent="0.35"/>
    <row r="6785" customFormat="1" x14ac:dyDescent="0.35"/>
    <row r="6786" customFormat="1" x14ac:dyDescent="0.35"/>
    <row r="6787" customFormat="1" x14ac:dyDescent="0.35"/>
    <row r="6788" customFormat="1" x14ac:dyDescent="0.35"/>
    <row r="6789" customFormat="1" x14ac:dyDescent="0.35"/>
    <row r="6790" customFormat="1" x14ac:dyDescent="0.35"/>
    <row r="6791" customFormat="1" x14ac:dyDescent="0.35"/>
    <row r="6792" customFormat="1" x14ac:dyDescent="0.35"/>
    <row r="6793" customFormat="1" x14ac:dyDescent="0.35"/>
    <row r="6794" customFormat="1" x14ac:dyDescent="0.35"/>
    <row r="6795" customFormat="1" x14ac:dyDescent="0.35"/>
    <row r="6796" customFormat="1" x14ac:dyDescent="0.35"/>
    <row r="6797" customFormat="1" x14ac:dyDescent="0.35"/>
    <row r="6798" customFormat="1" x14ac:dyDescent="0.35"/>
    <row r="6799" customFormat="1" x14ac:dyDescent="0.35"/>
    <row r="6800" customFormat="1" x14ac:dyDescent="0.35"/>
    <row r="6801" customFormat="1" x14ac:dyDescent="0.35"/>
    <row r="6802" customFormat="1" x14ac:dyDescent="0.35"/>
    <row r="6803" customFormat="1" x14ac:dyDescent="0.35"/>
    <row r="6804" customFormat="1" x14ac:dyDescent="0.35"/>
    <row r="6805" customFormat="1" x14ac:dyDescent="0.35"/>
    <row r="6806" customFormat="1" x14ac:dyDescent="0.35"/>
    <row r="6807" customFormat="1" x14ac:dyDescent="0.35"/>
    <row r="6808" customFormat="1" x14ac:dyDescent="0.35"/>
    <row r="6809" customFormat="1" x14ac:dyDescent="0.35"/>
    <row r="6810" customFormat="1" x14ac:dyDescent="0.35"/>
    <row r="6811" customFormat="1" x14ac:dyDescent="0.35"/>
    <row r="6812" customFormat="1" x14ac:dyDescent="0.35"/>
    <row r="6813" customFormat="1" x14ac:dyDescent="0.35"/>
    <row r="6814" customFormat="1" x14ac:dyDescent="0.35"/>
    <row r="6815" customFormat="1" x14ac:dyDescent="0.35"/>
    <row r="6816" customFormat="1" x14ac:dyDescent="0.35"/>
    <row r="6817" customFormat="1" x14ac:dyDescent="0.35"/>
    <row r="6818" customFormat="1" x14ac:dyDescent="0.35"/>
    <row r="6819" customFormat="1" x14ac:dyDescent="0.35"/>
    <row r="6820" customFormat="1" x14ac:dyDescent="0.35"/>
    <row r="6821" customFormat="1" x14ac:dyDescent="0.35"/>
    <row r="6822" customFormat="1" x14ac:dyDescent="0.35"/>
    <row r="6823" customFormat="1" x14ac:dyDescent="0.35"/>
    <row r="6824" customFormat="1" x14ac:dyDescent="0.35"/>
    <row r="6825" customFormat="1" x14ac:dyDescent="0.35"/>
    <row r="6826" customFormat="1" x14ac:dyDescent="0.35"/>
    <row r="6827" customFormat="1" x14ac:dyDescent="0.35"/>
    <row r="6828" customFormat="1" x14ac:dyDescent="0.35"/>
    <row r="6829" customFormat="1" x14ac:dyDescent="0.35"/>
    <row r="6830" customFormat="1" x14ac:dyDescent="0.35"/>
    <row r="6831" customFormat="1" x14ac:dyDescent="0.35"/>
    <row r="6832" customFormat="1" x14ac:dyDescent="0.35"/>
    <row r="6833" customFormat="1" x14ac:dyDescent="0.35"/>
    <row r="6834" customFormat="1" x14ac:dyDescent="0.35"/>
    <row r="6835" customFormat="1" x14ac:dyDescent="0.35"/>
    <row r="6836" customFormat="1" x14ac:dyDescent="0.35"/>
    <row r="6837" customFormat="1" x14ac:dyDescent="0.35"/>
    <row r="6838" customFormat="1" x14ac:dyDescent="0.35"/>
    <row r="6839" customFormat="1" x14ac:dyDescent="0.35"/>
    <row r="6840" customFormat="1" x14ac:dyDescent="0.35"/>
    <row r="6841" customFormat="1" x14ac:dyDescent="0.35"/>
    <row r="6842" customFormat="1" x14ac:dyDescent="0.35"/>
    <row r="6843" customFormat="1" x14ac:dyDescent="0.35"/>
    <row r="6844" customFormat="1" x14ac:dyDescent="0.35"/>
    <row r="6845" customFormat="1" x14ac:dyDescent="0.35"/>
    <row r="6846" customFormat="1" x14ac:dyDescent="0.35"/>
    <row r="6847" customFormat="1" x14ac:dyDescent="0.35"/>
    <row r="6848" customFormat="1" x14ac:dyDescent="0.35"/>
    <row r="6849" customFormat="1" x14ac:dyDescent="0.35"/>
    <row r="6850" customFormat="1" x14ac:dyDescent="0.35"/>
    <row r="6851" customFormat="1" x14ac:dyDescent="0.35"/>
    <row r="6852" customFormat="1" x14ac:dyDescent="0.35"/>
    <row r="6853" customFormat="1" x14ac:dyDescent="0.35"/>
    <row r="6854" customFormat="1" x14ac:dyDescent="0.35"/>
    <row r="6855" customFormat="1" x14ac:dyDescent="0.35"/>
    <row r="6856" customFormat="1" x14ac:dyDescent="0.35"/>
    <row r="6857" customFormat="1" x14ac:dyDescent="0.35"/>
    <row r="6858" customFormat="1" x14ac:dyDescent="0.35"/>
    <row r="6859" customFormat="1" x14ac:dyDescent="0.35"/>
    <row r="6860" customFormat="1" x14ac:dyDescent="0.35"/>
    <row r="6861" customFormat="1" x14ac:dyDescent="0.35"/>
    <row r="6862" customFormat="1" x14ac:dyDescent="0.35"/>
    <row r="6863" customFormat="1" x14ac:dyDescent="0.35"/>
    <row r="6864" customFormat="1" x14ac:dyDescent="0.35"/>
    <row r="6865" customFormat="1" x14ac:dyDescent="0.35"/>
    <row r="6866" customFormat="1" x14ac:dyDescent="0.35"/>
    <row r="6867" customFormat="1" x14ac:dyDescent="0.35"/>
    <row r="6868" customFormat="1" x14ac:dyDescent="0.35"/>
    <row r="6869" customFormat="1" x14ac:dyDescent="0.35"/>
    <row r="6870" customFormat="1" x14ac:dyDescent="0.35"/>
    <row r="6871" customFormat="1" x14ac:dyDescent="0.35"/>
    <row r="6872" customFormat="1" x14ac:dyDescent="0.35"/>
    <row r="6873" customFormat="1" x14ac:dyDescent="0.35"/>
    <row r="6874" customFormat="1" x14ac:dyDescent="0.35"/>
    <row r="6875" customFormat="1" x14ac:dyDescent="0.35"/>
    <row r="6876" customFormat="1" x14ac:dyDescent="0.35"/>
    <row r="6877" customFormat="1" x14ac:dyDescent="0.35"/>
    <row r="6878" customFormat="1" x14ac:dyDescent="0.35"/>
    <row r="6879" customFormat="1" x14ac:dyDescent="0.35"/>
    <row r="6880" customFormat="1" x14ac:dyDescent="0.35"/>
    <row r="6881" customFormat="1" x14ac:dyDescent="0.35"/>
    <row r="6882" customFormat="1" x14ac:dyDescent="0.35"/>
    <row r="6883" customFormat="1" x14ac:dyDescent="0.35"/>
    <row r="6884" customFormat="1" x14ac:dyDescent="0.35"/>
    <row r="6885" customFormat="1" x14ac:dyDescent="0.35"/>
    <row r="6886" customFormat="1" x14ac:dyDescent="0.35"/>
    <row r="6887" customFormat="1" x14ac:dyDescent="0.35"/>
    <row r="6888" customFormat="1" x14ac:dyDescent="0.35"/>
    <row r="6889" customFormat="1" x14ac:dyDescent="0.35"/>
    <row r="6890" customFormat="1" x14ac:dyDescent="0.35"/>
    <row r="6891" customFormat="1" x14ac:dyDescent="0.35"/>
    <row r="6892" customFormat="1" x14ac:dyDescent="0.35"/>
    <row r="6893" customFormat="1" x14ac:dyDescent="0.35"/>
    <row r="6894" customFormat="1" x14ac:dyDescent="0.35"/>
    <row r="6895" customFormat="1" x14ac:dyDescent="0.35"/>
    <row r="6896" customFormat="1" x14ac:dyDescent="0.35"/>
    <row r="6897" customFormat="1" x14ac:dyDescent="0.35"/>
    <row r="6898" customFormat="1" x14ac:dyDescent="0.35"/>
    <row r="6899" customFormat="1" x14ac:dyDescent="0.35"/>
    <row r="6900" customFormat="1" x14ac:dyDescent="0.35"/>
    <row r="6901" customFormat="1" x14ac:dyDescent="0.35"/>
    <row r="6902" customFormat="1" x14ac:dyDescent="0.35"/>
    <row r="6903" customFormat="1" x14ac:dyDescent="0.35"/>
    <row r="6904" customFormat="1" x14ac:dyDescent="0.35"/>
    <row r="6905" customFormat="1" x14ac:dyDescent="0.35"/>
    <row r="6906" customFormat="1" x14ac:dyDescent="0.35"/>
    <row r="6907" customFormat="1" x14ac:dyDescent="0.35"/>
    <row r="6908" customFormat="1" x14ac:dyDescent="0.35"/>
    <row r="6909" customFormat="1" x14ac:dyDescent="0.35"/>
    <row r="6910" customFormat="1" x14ac:dyDescent="0.35"/>
    <row r="6911" customFormat="1" x14ac:dyDescent="0.35"/>
    <row r="6912" customFormat="1" x14ac:dyDescent="0.35"/>
    <row r="6913" customFormat="1" x14ac:dyDescent="0.35"/>
    <row r="6914" customFormat="1" x14ac:dyDescent="0.35"/>
    <row r="6915" customFormat="1" x14ac:dyDescent="0.35"/>
    <row r="6916" customFormat="1" x14ac:dyDescent="0.35"/>
    <row r="6917" customFormat="1" x14ac:dyDescent="0.35"/>
    <row r="6918" customFormat="1" x14ac:dyDescent="0.35"/>
    <row r="6919" customFormat="1" x14ac:dyDescent="0.35"/>
    <row r="6920" customFormat="1" x14ac:dyDescent="0.35"/>
    <row r="6921" customFormat="1" x14ac:dyDescent="0.35"/>
    <row r="6922" customFormat="1" x14ac:dyDescent="0.35"/>
    <row r="6923" customFormat="1" x14ac:dyDescent="0.35"/>
    <row r="6924" customFormat="1" x14ac:dyDescent="0.35"/>
    <row r="6925" customFormat="1" x14ac:dyDescent="0.35"/>
    <row r="6926" customFormat="1" x14ac:dyDescent="0.35"/>
    <row r="6927" customFormat="1" x14ac:dyDescent="0.35"/>
    <row r="6928" customFormat="1" x14ac:dyDescent="0.35"/>
    <row r="6929" customFormat="1" x14ac:dyDescent="0.35"/>
    <row r="6930" customFormat="1" x14ac:dyDescent="0.35"/>
    <row r="6931" customFormat="1" x14ac:dyDescent="0.35"/>
    <row r="6932" customFormat="1" x14ac:dyDescent="0.35"/>
    <row r="6933" customFormat="1" x14ac:dyDescent="0.35"/>
    <row r="6934" customFormat="1" x14ac:dyDescent="0.35"/>
    <row r="6935" customFormat="1" x14ac:dyDescent="0.35"/>
    <row r="6936" customFormat="1" x14ac:dyDescent="0.35"/>
    <row r="6937" customFormat="1" x14ac:dyDescent="0.35"/>
    <row r="6938" customFormat="1" x14ac:dyDescent="0.35"/>
    <row r="6939" customFormat="1" x14ac:dyDescent="0.35"/>
    <row r="6940" customFormat="1" x14ac:dyDescent="0.35"/>
    <row r="6941" customFormat="1" x14ac:dyDescent="0.35"/>
    <row r="6942" customFormat="1" x14ac:dyDescent="0.35"/>
    <row r="6943" customFormat="1" x14ac:dyDescent="0.35"/>
    <row r="6944" customFormat="1" x14ac:dyDescent="0.35"/>
    <row r="6945" customFormat="1" x14ac:dyDescent="0.35"/>
    <row r="6946" customFormat="1" x14ac:dyDescent="0.35"/>
    <row r="6947" customFormat="1" x14ac:dyDescent="0.35"/>
    <row r="6948" customFormat="1" x14ac:dyDescent="0.35"/>
    <row r="6949" customFormat="1" x14ac:dyDescent="0.35"/>
    <row r="6950" customFormat="1" x14ac:dyDescent="0.35"/>
    <row r="6951" customFormat="1" x14ac:dyDescent="0.35"/>
    <row r="6952" customFormat="1" x14ac:dyDescent="0.35"/>
    <row r="6953" customFormat="1" x14ac:dyDescent="0.35"/>
    <row r="6954" customFormat="1" x14ac:dyDescent="0.35"/>
    <row r="6955" customFormat="1" x14ac:dyDescent="0.35"/>
    <row r="6956" customFormat="1" x14ac:dyDescent="0.35"/>
    <row r="6957" customFormat="1" x14ac:dyDescent="0.35"/>
    <row r="6958" customFormat="1" x14ac:dyDescent="0.35"/>
    <row r="6959" customFormat="1" x14ac:dyDescent="0.35"/>
    <row r="6960" customFormat="1" x14ac:dyDescent="0.35"/>
    <row r="6961" customFormat="1" x14ac:dyDescent="0.35"/>
    <row r="6962" customFormat="1" x14ac:dyDescent="0.35"/>
    <row r="6963" customFormat="1" x14ac:dyDescent="0.35"/>
    <row r="6964" customFormat="1" x14ac:dyDescent="0.35"/>
    <row r="6965" customFormat="1" x14ac:dyDescent="0.35"/>
    <row r="6966" customFormat="1" x14ac:dyDescent="0.35"/>
    <row r="6967" customFormat="1" x14ac:dyDescent="0.35"/>
    <row r="6968" customFormat="1" x14ac:dyDescent="0.35"/>
    <row r="6969" customFormat="1" x14ac:dyDescent="0.35"/>
    <row r="6970" customFormat="1" x14ac:dyDescent="0.35"/>
    <row r="6971" customFormat="1" x14ac:dyDescent="0.35"/>
    <row r="6972" customFormat="1" x14ac:dyDescent="0.35"/>
    <row r="6973" customFormat="1" x14ac:dyDescent="0.35"/>
    <row r="6974" customFormat="1" x14ac:dyDescent="0.35"/>
    <row r="6975" customFormat="1" x14ac:dyDescent="0.35"/>
    <row r="6976" customFormat="1" x14ac:dyDescent="0.35"/>
    <row r="6977" customFormat="1" x14ac:dyDescent="0.35"/>
    <row r="6978" customFormat="1" x14ac:dyDescent="0.35"/>
    <row r="6979" customFormat="1" x14ac:dyDescent="0.35"/>
    <row r="6980" customFormat="1" x14ac:dyDescent="0.35"/>
    <row r="6981" customFormat="1" x14ac:dyDescent="0.35"/>
    <row r="6982" customFormat="1" x14ac:dyDescent="0.35"/>
    <row r="6983" customFormat="1" x14ac:dyDescent="0.35"/>
    <row r="6984" customFormat="1" x14ac:dyDescent="0.35"/>
    <row r="6985" customFormat="1" x14ac:dyDescent="0.35"/>
    <row r="6986" customFormat="1" x14ac:dyDescent="0.35"/>
    <row r="6987" customFormat="1" x14ac:dyDescent="0.35"/>
    <row r="6988" customFormat="1" x14ac:dyDescent="0.35"/>
    <row r="6989" customFormat="1" x14ac:dyDescent="0.35"/>
    <row r="6990" customFormat="1" x14ac:dyDescent="0.35"/>
    <row r="6991" customFormat="1" x14ac:dyDescent="0.35"/>
    <row r="6992" customFormat="1" x14ac:dyDescent="0.35"/>
    <row r="6993" customFormat="1" x14ac:dyDescent="0.35"/>
    <row r="6994" customFormat="1" x14ac:dyDescent="0.35"/>
    <row r="6995" customFormat="1" x14ac:dyDescent="0.35"/>
    <row r="6996" customFormat="1" x14ac:dyDescent="0.35"/>
    <row r="6997" customFormat="1" x14ac:dyDescent="0.35"/>
    <row r="6998" customFormat="1" x14ac:dyDescent="0.35"/>
    <row r="6999" customFormat="1" x14ac:dyDescent="0.35"/>
    <row r="7000" customFormat="1" x14ac:dyDescent="0.35"/>
    <row r="7001" customFormat="1" x14ac:dyDescent="0.35"/>
    <row r="7002" customFormat="1" x14ac:dyDescent="0.35"/>
    <row r="7003" customFormat="1" x14ac:dyDescent="0.35"/>
    <row r="7004" customFormat="1" x14ac:dyDescent="0.35"/>
    <row r="7005" customFormat="1" x14ac:dyDescent="0.35"/>
    <row r="7006" customFormat="1" x14ac:dyDescent="0.35"/>
    <row r="7007" customFormat="1" x14ac:dyDescent="0.35"/>
    <row r="7008" customFormat="1" x14ac:dyDescent="0.35"/>
    <row r="7009" customFormat="1" x14ac:dyDescent="0.35"/>
    <row r="7010" customFormat="1" x14ac:dyDescent="0.35"/>
    <row r="7011" customFormat="1" x14ac:dyDescent="0.35"/>
    <row r="7012" customFormat="1" x14ac:dyDescent="0.35"/>
    <row r="7013" customFormat="1" x14ac:dyDescent="0.35"/>
    <row r="7014" customFormat="1" x14ac:dyDescent="0.35"/>
    <row r="7015" customFormat="1" x14ac:dyDescent="0.35"/>
    <row r="7016" customFormat="1" x14ac:dyDescent="0.35"/>
    <row r="7017" customFormat="1" x14ac:dyDescent="0.35"/>
    <row r="7018" customFormat="1" x14ac:dyDescent="0.35"/>
    <row r="7019" customFormat="1" x14ac:dyDescent="0.35"/>
    <row r="7020" customFormat="1" x14ac:dyDescent="0.35"/>
    <row r="7021" customFormat="1" x14ac:dyDescent="0.35"/>
    <row r="7022" customFormat="1" x14ac:dyDescent="0.35"/>
    <row r="7023" customFormat="1" x14ac:dyDescent="0.35"/>
    <row r="7024" customFormat="1" x14ac:dyDescent="0.35"/>
    <row r="7025" customFormat="1" x14ac:dyDescent="0.35"/>
    <row r="7026" customFormat="1" x14ac:dyDescent="0.35"/>
    <row r="7027" customFormat="1" x14ac:dyDescent="0.35"/>
    <row r="7028" customFormat="1" x14ac:dyDescent="0.35"/>
    <row r="7029" customFormat="1" x14ac:dyDescent="0.35"/>
    <row r="7030" customFormat="1" x14ac:dyDescent="0.35"/>
    <row r="7031" customFormat="1" x14ac:dyDescent="0.35"/>
    <row r="7032" customFormat="1" x14ac:dyDescent="0.35"/>
    <row r="7033" customFormat="1" x14ac:dyDescent="0.35"/>
    <row r="7034" customFormat="1" x14ac:dyDescent="0.35"/>
    <row r="7035" customFormat="1" x14ac:dyDescent="0.35"/>
    <row r="7036" customFormat="1" x14ac:dyDescent="0.35"/>
    <row r="7037" customFormat="1" x14ac:dyDescent="0.35"/>
    <row r="7038" customFormat="1" x14ac:dyDescent="0.35"/>
    <row r="7039" customFormat="1" x14ac:dyDescent="0.35"/>
    <row r="7040" customFormat="1" x14ac:dyDescent="0.35"/>
    <row r="7041" customFormat="1" x14ac:dyDescent="0.35"/>
    <row r="7042" customFormat="1" x14ac:dyDescent="0.35"/>
    <row r="7043" customFormat="1" x14ac:dyDescent="0.35"/>
    <row r="7044" customFormat="1" x14ac:dyDescent="0.35"/>
    <row r="7045" customFormat="1" x14ac:dyDescent="0.35"/>
    <row r="7046" customFormat="1" x14ac:dyDescent="0.35"/>
    <row r="7047" customFormat="1" x14ac:dyDescent="0.35"/>
    <row r="7048" customFormat="1" x14ac:dyDescent="0.35"/>
    <row r="7049" customFormat="1" x14ac:dyDescent="0.35"/>
    <row r="7050" customFormat="1" x14ac:dyDescent="0.35"/>
    <row r="7051" customFormat="1" x14ac:dyDescent="0.35"/>
    <row r="7052" customFormat="1" x14ac:dyDescent="0.35"/>
    <row r="7053" customFormat="1" x14ac:dyDescent="0.35"/>
    <row r="7054" customFormat="1" x14ac:dyDescent="0.35"/>
    <row r="7055" customFormat="1" x14ac:dyDescent="0.35"/>
    <row r="7056" customFormat="1" x14ac:dyDescent="0.35"/>
    <row r="7057" customFormat="1" x14ac:dyDescent="0.35"/>
    <row r="7058" customFormat="1" x14ac:dyDescent="0.35"/>
    <row r="7059" customFormat="1" x14ac:dyDescent="0.35"/>
    <row r="7060" customFormat="1" x14ac:dyDescent="0.35"/>
    <row r="7061" customFormat="1" x14ac:dyDescent="0.35"/>
    <row r="7062" customFormat="1" x14ac:dyDescent="0.35"/>
    <row r="7063" customFormat="1" x14ac:dyDescent="0.35"/>
    <row r="7064" customFormat="1" x14ac:dyDescent="0.35"/>
    <row r="7065" customFormat="1" x14ac:dyDescent="0.35"/>
    <row r="7066" customFormat="1" x14ac:dyDescent="0.35"/>
    <row r="7067" customFormat="1" x14ac:dyDescent="0.35"/>
    <row r="7068" customFormat="1" x14ac:dyDescent="0.35"/>
    <row r="7069" customFormat="1" x14ac:dyDescent="0.35"/>
    <row r="7070" customFormat="1" x14ac:dyDescent="0.35"/>
    <row r="7071" customFormat="1" x14ac:dyDescent="0.35"/>
    <row r="7072" customFormat="1" x14ac:dyDescent="0.35"/>
    <row r="7073" customFormat="1" x14ac:dyDescent="0.35"/>
    <row r="7074" customFormat="1" x14ac:dyDescent="0.35"/>
    <row r="7075" customFormat="1" x14ac:dyDescent="0.35"/>
    <row r="7076" customFormat="1" x14ac:dyDescent="0.35"/>
    <row r="7077" customFormat="1" x14ac:dyDescent="0.35"/>
    <row r="7078" customFormat="1" x14ac:dyDescent="0.35"/>
    <row r="7079" customFormat="1" x14ac:dyDescent="0.35"/>
    <row r="7080" customFormat="1" x14ac:dyDescent="0.35"/>
    <row r="7081" customFormat="1" x14ac:dyDescent="0.35"/>
    <row r="7082" customFormat="1" x14ac:dyDescent="0.35"/>
    <row r="7083" customFormat="1" x14ac:dyDescent="0.35"/>
    <row r="7084" customFormat="1" x14ac:dyDescent="0.35"/>
    <row r="7085" customFormat="1" x14ac:dyDescent="0.35"/>
    <row r="7086" customFormat="1" x14ac:dyDescent="0.35"/>
    <row r="7087" customFormat="1" x14ac:dyDescent="0.35"/>
    <row r="7088" customFormat="1" x14ac:dyDescent="0.35"/>
    <row r="7089" customFormat="1" x14ac:dyDescent="0.35"/>
    <row r="7090" customFormat="1" x14ac:dyDescent="0.35"/>
    <row r="7091" customFormat="1" x14ac:dyDescent="0.35"/>
    <row r="7092" customFormat="1" x14ac:dyDescent="0.35"/>
    <row r="7093" customFormat="1" x14ac:dyDescent="0.35"/>
    <row r="7094" customFormat="1" x14ac:dyDescent="0.35"/>
    <row r="7095" customFormat="1" x14ac:dyDescent="0.35"/>
    <row r="7096" customFormat="1" x14ac:dyDescent="0.35"/>
    <row r="7097" customFormat="1" x14ac:dyDescent="0.35"/>
    <row r="7098" customFormat="1" x14ac:dyDescent="0.35"/>
    <row r="7099" customFormat="1" x14ac:dyDescent="0.35"/>
    <row r="7100" customFormat="1" x14ac:dyDescent="0.35"/>
    <row r="7101" customFormat="1" x14ac:dyDescent="0.35"/>
    <row r="7102" customFormat="1" x14ac:dyDescent="0.35"/>
    <row r="7103" customFormat="1" x14ac:dyDescent="0.35"/>
    <row r="7104" customFormat="1" x14ac:dyDescent="0.35"/>
    <row r="7105" customFormat="1" x14ac:dyDescent="0.35"/>
    <row r="7106" customFormat="1" x14ac:dyDescent="0.35"/>
    <row r="7107" customFormat="1" x14ac:dyDescent="0.35"/>
    <row r="7108" customFormat="1" x14ac:dyDescent="0.35"/>
    <row r="7109" customFormat="1" x14ac:dyDescent="0.35"/>
    <row r="7110" customFormat="1" x14ac:dyDescent="0.35"/>
    <row r="7111" customFormat="1" x14ac:dyDescent="0.35"/>
    <row r="7112" customFormat="1" x14ac:dyDescent="0.35"/>
    <row r="7113" customFormat="1" x14ac:dyDescent="0.35"/>
    <row r="7114" customFormat="1" x14ac:dyDescent="0.35"/>
    <row r="7115" customFormat="1" x14ac:dyDescent="0.35"/>
    <row r="7116" customFormat="1" x14ac:dyDescent="0.35"/>
    <row r="7117" customFormat="1" x14ac:dyDescent="0.35"/>
    <row r="7118" customFormat="1" x14ac:dyDescent="0.35"/>
    <row r="7119" customFormat="1" x14ac:dyDescent="0.35"/>
    <row r="7120" customFormat="1" x14ac:dyDescent="0.35"/>
    <row r="7121" customFormat="1" x14ac:dyDescent="0.35"/>
    <row r="7122" customFormat="1" x14ac:dyDescent="0.35"/>
    <row r="7123" customFormat="1" x14ac:dyDescent="0.35"/>
    <row r="7124" customFormat="1" x14ac:dyDescent="0.35"/>
    <row r="7125" customFormat="1" x14ac:dyDescent="0.35"/>
    <row r="7126" customFormat="1" x14ac:dyDescent="0.35"/>
    <row r="7127" customFormat="1" x14ac:dyDescent="0.35"/>
    <row r="7128" customFormat="1" x14ac:dyDescent="0.35"/>
    <row r="7129" customFormat="1" x14ac:dyDescent="0.35"/>
    <row r="7130" customFormat="1" x14ac:dyDescent="0.35"/>
    <row r="7131" customFormat="1" x14ac:dyDescent="0.35"/>
    <row r="7132" customFormat="1" x14ac:dyDescent="0.35"/>
    <row r="7133" customFormat="1" x14ac:dyDescent="0.35"/>
    <row r="7134" customFormat="1" x14ac:dyDescent="0.35"/>
    <row r="7135" customFormat="1" x14ac:dyDescent="0.35"/>
    <row r="7136" customFormat="1" x14ac:dyDescent="0.35"/>
    <row r="7137" customFormat="1" x14ac:dyDescent="0.35"/>
    <row r="7138" customFormat="1" x14ac:dyDescent="0.35"/>
    <row r="7139" customFormat="1" x14ac:dyDescent="0.35"/>
    <row r="7140" customFormat="1" x14ac:dyDescent="0.35"/>
    <row r="7141" customFormat="1" x14ac:dyDescent="0.35"/>
    <row r="7142" customFormat="1" x14ac:dyDescent="0.35"/>
    <row r="7143" customFormat="1" x14ac:dyDescent="0.35"/>
    <row r="7144" customFormat="1" x14ac:dyDescent="0.35"/>
    <row r="7145" customFormat="1" x14ac:dyDescent="0.35"/>
    <row r="7146" customFormat="1" x14ac:dyDescent="0.35"/>
    <row r="7147" customFormat="1" x14ac:dyDescent="0.35"/>
    <row r="7148" customFormat="1" x14ac:dyDescent="0.35"/>
    <row r="7149" customFormat="1" x14ac:dyDescent="0.35"/>
    <row r="7150" customFormat="1" x14ac:dyDescent="0.35"/>
    <row r="7151" customFormat="1" x14ac:dyDescent="0.35"/>
    <row r="7152" customFormat="1" x14ac:dyDescent="0.35"/>
    <row r="7153" customFormat="1" x14ac:dyDescent="0.35"/>
    <row r="7154" customFormat="1" x14ac:dyDescent="0.35"/>
    <row r="7155" customFormat="1" x14ac:dyDescent="0.35"/>
    <row r="7156" customFormat="1" x14ac:dyDescent="0.35"/>
    <row r="7157" customFormat="1" x14ac:dyDescent="0.35"/>
    <row r="7158" customFormat="1" x14ac:dyDescent="0.35"/>
    <row r="7159" customFormat="1" x14ac:dyDescent="0.35"/>
    <row r="7160" customFormat="1" x14ac:dyDescent="0.35"/>
    <row r="7161" customFormat="1" x14ac:dyDescent="0.35"/>
    <row r="7162" customFormat="1" x14ac:dyDescent="0.35"/>
    <row r="7163" customFormat="1" x14ac:dyDescent="0.35"/>
    <row r="7164" customFormat="1" x14ac:dyDescent="0.35"/>
    <row r="7165" customFormat="1" x14ac:dyDescent="0.35"/>
    <row r="7166" customFormat="1" x14ac:dyDescent="0.35"/>
    <row r="7167" customFormat="1" x14ac:dyDescent="0.35"/>
    <row r="7168" customFormat="1" x14ac:dyDescent="0.35"/>
    <row r="7169" customFormat="1" x14ac:dyDescent="0.35"/>
    <row r="7170" customFormat="1" x14ac:dyDescent="0.35"/>
    <row r="7171" customFormat="1" x14ac:dyDescent="0.35"/>
    <row r="7172" customFormat="1" x14ac:dyDescent="0.35"/>
    <row r="7173" customFormat="1" x14ac:dyDescent="0.35"/>
    <row r="7174" customFormat="1" x14ac:dyDescent="0.35"/>
    <row r="7175" customFormat="1" x14ac:dyDescent="0.35"/>
    <row r="7176" customFormat="1" x14ac:dyDescent="0.35"/>
    <row r="7177" customFormat="1" x14ac:dyDescent="0.35"/>
    <row r="7178" customFormat="1" x14ac:dyDescent="0.35"/>
    <row r="7179" customFormat="1" x14ac:dyDescent="0.35"/>
    <row r="7180" customFormat="1" x14ac:dyDescent="0.35"/>
    <row r="7181" customFormat="1" x14ac:dyDescent="0.35"/>
    <row r="7182" customFormat="1" x14ac:dyDescent="0.35"/>
    <row r="7183" customFormat="1" x14ac:dyDescent="0.35"/>
    <row r="7184" customFormat="1" x14ac:dyDescent="0.35"/>
    <row r="7185" customFormat="1" x14ac:dyDescent="0.35"/>
    <row r="7186" customFormat="1" x14ac:dyDescent="0.35"/>
    <row r="7187" customFormat="1" x14ac:dyDescent="0.35"/>
    <row r="7188" customFormat="1" x14ac:dyDescent="0.35"/>
    <row r="7189" customFormat="1" x14ac:dyDescent="0.35"/>
    <row r="7190" customFormat="1" x14ac:dyDescent="0.35"/>
    <row r="7191" customFormat="1" x14ac:dyDescent="0.35"/>
    <row r="7192" customFormat="1" x14ac:dyDescent="0.35"/>
    <row r="7193" customFormat="1" x14ac:dyDescent="0.35"/>
    <row r="7194" customFormat="1" x14ac:dyDescent="0.35"/>
    <row r="7195" customFormat="1" x14ac:dyDescent="0.35"/>
    <row r="7196" customFormat="1" x14ac:dyDescent="0.35"/>
    <row r="7197" customFormat="1" x14ac:dyDescent="0.35"/>
    <row r="7198" customFormat="1" x14ac:dyDescent="0.35"/>
    <row r="7199" customFormat="1" x14ac:dyDescent="0.35"/>
    <row r="7200" customFormat="1" x14ac:dyDescent="0.35"/>
    <row r="7201" customFormat="1" x14ac:dyDescent="0.35"/>
    <row r="7202" customFormat="1" x14ac:dyDescent="0.35"/>
    <row r="7203" customFormat="1" x14ac:dyDescent="0.35"/>
    <row r="7204" customFormat="1" x14ac:dyDescent="0.35"/>
    <row r="7205" customFormat="1" x14ac:dyDescent="0.35"/>
    <row r="7206" customFormat="1" x14ac:dyDescent="0.35"/>
    <row r="7207" customFormat="1" x14ac:dyDescent="0.35"/>
    <row r="7208" customFormat="1" x14ac:dyDescent="0.35"/>
    <row r="7209" customFormat="1" x14ac:dyDescent="0.35"/>
    <row r="7210" customFormat="1" x14ac:dyDescent="0.35"/>
    <row r="7211" customFormat="1" x14ac:dyDescent="0.35"/>
    <row r="7212" customFormat="1" x14ac:dyDescent="0.35"/>
    <row r="7213" customFormat="1" x14ac:dyDescent="0.35"/>
    <row r="7214" customFormat="1" x14ac:dyDescent="0.35"/>
    <row r="7215" customFormat="1" x14ac:dyDescent="0.35"/>
    <row r="7216" customFormat="1" x14ac:dyDescent="0.35"/>
    <row r="7217" customFormat="1" x14ac:dyDescent="0.35"/>
    <row r="7218" customFormat="1" x14ac:dyDescent="0.35"/>
    <row r="7219" customFormat="1" x14ac:dyDescent="0.35"/>
    <row r="7220" customFormat="1" x14ac:dyDescent="0.35"/>
    <row r="7221" customFormat="1" x14ac:dyDescent="0.35"/>
    <row r="7222" customFormat="1" x14ac:dyDescent="0.35"/>
    <row r="7223" customFormat="1" x14ac:dyDescent="0.35"/>
    <row r="7224" customFormat="1" x14ac:dyDescent="0.35"/>
    <row r="7225" customFormat="1" x14ac:dyDescent="0.35"/>
    <row r="7226" customFormat="1" x14ac:dyDescent="0.35"/>
    <row r="7227" customFormat="1" x14ac:dyDescent="0.35"/>
    <row r="7228" customFormat="1" x14ac:dyDescent="0.35"/>
    <row r="7229" customFormat="1" x14ac:dyDescent="0.35"/>
    <row r="7230" customFormat="1" x14ac:dyDescent="0.35"/>
    <row r="7231" customFormat="1" x14ac:dyDescent="0.35"/>
    <row r="7232" customFormat="1" x14ac:dyDescent="0.35"/>
    <row r="7233" customFormat="1" x14ac:dyDescent="0.35"/>
    <row r="7234" customFormat="1" x14ac:dyDescent="0.35"/>
    <row r="7235" customFormat="1" x14ac:dyDescent="0.35"/>
    <row r="7236" customFormat="1" x14ac:dyDescent="0.35"/>
    <row r="7237" customFormat="1" x14ac:dyDescent="0.35"/>
    <row r="7238" customFormat="1" x14ac:dyDescent="0.35"/>
    <row r="7239" customFormat="1" x14ac:dyDescent="0.35"/>
    <row r="7240" customFormat="1" x14ac:dyDescent="0.35"/>
    <row r="7241" customFormat="1" x14ac:dyDescent="0.35"/>
    <row r="7242" customFormat="1" x14ac:dyDescent="0.35"/>
    <row r="7243" customFormat="1" x14ac:dyDescent="0.35"/>
    <row r="7244" customFormat="1" x14ac:dyDescent="0.35"/>
    <row r="7245" customFormat="1" x14ac:dyDescent="0.35"/>
    <row r="7246" customFormat="1" x14ac:dyDescent="0.35"/>
    <row r="7247" customFormat="1" x14ac:dyDescent="0.35"/>
    <row r="7248" customFormat="1" x14ac:dyDescent="0.35"/>
    <row r="7249" customFormat="1" x14ac:dyDescent="0.35"/>
    <row r="7250" customFormat="1" x14ac:dyDescent="0.35"/>
    <row r="7251" customFormat="1" x14ac:dyDescent="0.35"/>
    <row r="7252" customFormat="1" x14ac:dyDescent="0.35"/>
    <row r="7253" customFormat="1" x14ac:dyDescent="0.35"/>
    <row r="7254" customFormat="1" x14ac:dyDescent="0.35"/>
    <row r="7255" customFormat="1" x14ac:dyDescent="0.35"/>
    <row r="7256" customFormat="1" x14ac:dyDescent="0.35"/>
    <row r="7257" customFormat="1" x14ac:dyDescent="0.35"/>
    <row r="7258" customFormat="1" x14ac:dyDescent="0.35"/>
    <row r="7259" customFormat="1" x14ac:dyDescent="0.35"/>
    <row r="7260" customFormat="1" x14ac:dyDescent="0.35"/>
    <row r="7261" customFormat="1" x14ac:dyDescent="0.35"/>
    <row r="7262" customFormat="1" x14ac:dyDescent="0.35"/>
    <row r="7263" customFormat="1" x14ac:dyDescent="0.35"/>
    <row r="7264" customFormat="1" x14ac:dyDescent="0.35"/>
    <row r="7265" customFormat="1" x14ac:dyDescent="0.35"/>
    <row r="7266" customFormat="1" x14ac:dyDescent="0.35"/>
    <row r="7267" customFormat="1" x14ac:dyDescent="0.35"/>
    <row r="7268" customFormat="1" x14ac:dyDescent="0.35"/>
    <row r="7269" customFormat="1" x14ac:dyDescent="0.35"/>
    <row r="7270" customFormat="1" x14ac:dyDescent="0.35"/>
    <row r="7271" customFormat="1" x14ac:dyDescent="0.35"/>
    <row r="7272" customFormat="1" x14ac:dyDescent="0.35"/>
    <row r="7273" customFormat="1" x14ac:dyDescent="0.35"/>
    <row r="7274" customFormat="1" x14ac:dyDescent="0.35"/>
    <row r="7275" customFormat="1" x14ac:dyDescent="0.35"/>
    <row r="7276" customFormat="1" x14ac:dyDescent="0.35"/>
    <row r="7277" customFormat="1" x14ac:dyDescent="0.35"/>
    <row r="7278" customFormat="1" x14ac:dyDescent="0.35"/>
    <row r="7279" customFormat="1" x14ac:dyDescent="0.35"/>
    <row r="7280" customFormat="1" x14ac:dyDescent="0.35"/>
    <row r="7281" customFormat="1" x14ac:dyDescent="0.35"/>
    <row r="7282" customFormat="1" x14ac:dyDescent="0.35"/>
    <row r="7283" customFormat="1" x14ac:dyDescent="0.35"/>
    <row r="7284" customFormat="1" x14ac:dyDescent="0.35"/>
    <row r="7285" customFormat="1" x14ac:dyDescent="0.35"/>
    <row r="7286" customFormat="1" x14ac:dyDescent="0.35"/>
    <row r="7287" customFormat="1" x14ac:dyDescent="0.35"/>
    <row r="7288" customFormat="1" x14ac:dyDescent="0.35"/>
    <row r="7289" customFormat="1" x14ac:dyDescent="0.35"/>
    <row r="7290" customFormat="1" x14ac:dyDescent="0.35"/>
    <row r="7291" customFormat="1" x14ac:dyDescent="0.35"/>
    <row r="7292" customFormat="1" x14ac:dyDescent="0.35"/>
    <row r="7293" customFormat="1" x14ac:dyDescent="0.35"/>
    <row r="7294" customFormat="1" x14ac:dyDescent="0.35"/>
    <row r="7295" customFormat="1" x14ac:dyDescent="0.35"/>
    <row r="7296" customFormat="1" x14ac:dyDescent="0.35"/>
    <row r="7297" customFormat="1" x14ac:dyDescent="0.35"/>
    <row r="7298" customFormat="1" x14ac:dyDescent="0.35"/>
    <row r="7299" customFormat="1" x14ac:dyDescent="0.35"/>
    <row r="7300" customFormat="1" x14ac:dyDescent="0.35"/>
    <row r="7301" customFormat="1" x14ac:dyDescent="0.35"/>
    <row r="7302" customFormat="1" x14ac:dyDescent="0.35"/>
    <row r="7303" customFormat="1" x14ac:dyDescent="0.35"/>
    <row r="7304" customFormat="1" x14ac:dyDescent="0.35"/>
    <row r="7305" customFormat="1" x14ac:dyDescent="0.35"/>
    <row r="7306" customFormat="1" x14ac:dyDescent="0.35"/>
    <row r="7307" customFormat="1" x14ac:dyDescent="0.35"/>
    <row r="7308" customFormat="1" x14ac:dyDescent="0.35"/>
    <row r="7309" customFormat="1" x14ac:dyDescent="0.35"/>
    <row r="7310" customFormat="1" x14ac:dyDescent="0.35"/>
    <row r="7311" customFormat="1" x14ac:dyDescent="0.35"/>
    <row r="7312" customFormat="1" x14ac:dyDescent="0.35"/>
    <row r="7313" customFormat="1" x14ac:dyDescent="0.35"/>
    <row r="7314" customFormat="1" x14ac:dyDescent="0.35"/>
    <row r="7315" customFormat="1" x14ac:dyDescent="0.35"/>
    <row r="7316" customFormat="1" x14ac:dyDescent="0.35"/>
    <row r="7317" customFormat="1" x14ac:dyDescent="0.35"/>
    <row r="7318" customFormat="1" x14ac:dyDescent="0.35"/>
    <row r="7319" customFormat="1" x14ac:dyDescent="0.35"/>
    <row r="7320" customFormat="1" x14ac:dyDescent="0.35"/>
    <row r="7321" customFormat="1" x14ac:dyDescent="0.35"/>
    <row r="7322" customFormat="1" x14ac:dyDescent="0.35"/>
    <row r="7323" customFormat="1" x14ac:dyDescent="0.35"/>
    <row r="7324" customFormat="1" x14ac:dyDescent="0.35"/>
    <row r="7325" customFormat="1" x14ac:dyDescent="0.35"/>
    <row r="7326" customFormat="1" x14ac:dyDescent="0.35"/>
    <row r="7327" customFormat="1" x14ac:dyDescent="0.35"/>
    <row r="7328" customFormat="1" x14ac:dyDescent="0.35"/>
    <row r="7329" customFormat="1" x14ac:dyDescent="0.35"/>
    <row r="7330" customFormat="1" x14ac:dyDescent="0.35"/>
    <row r="7331" customFormat="1" x14ac:dyDescent="0.35"/>
    <row r="7332" customFormat="1" x14ac:dyDescent="0.35"/>
    <row r="7333" customFormat="1" x14ac:dyDescent="0.35"/>
    <row r="7334" customFormat="1" x14ac:dyDescent="0.35"/>
    <row r="7335" customFormat="1" x14ac:dyDescent="0.35"/>
    <row r="7336" customFormat="1" x14ac:dyDescent="0.35"/>
    <row r="7337" customFormat="1" x14ac:dyDescent="0.35"/>
    <row r="7338" customFormat="1" x14ac:dyDescent="0.35"/>
    <row r="7339" customFormat="1" x14ac:dyDescent="0.35"/>
    <row r="7340" customFormat="1" x14ac:dyDescent="0.35"/>
    <row r="7341" customFormat="1" x14ac:dyDescent="0.35"/>
    <row r="7342" customFormat="1" x14ac:dyDescent="0.35"/>
    <row r="7343" customFormat="1" x14ac:dyDescent="0.35"/>
    <row r="7344" customFormat="1" x14ac:dyDescent="0.35"/>
    <row r="7345" customFormat="1" x14ac:dyDescent="0.35"/>
    <row r="7346" customFormat="1" x14ac:dyDescent="0.35"/>
    <row r="7347" customFormat="1" x14ac:dyDescent="0.35"/>
    <row r="7348" customFormat="1" x14ac:dyDescent="0.35"/>
    <row r="7349" customFormat="1" x14ac:dyDescent="0.35"/>
    <row r="7350" customFormat="1" x14ac:dyDescent="0.35"/>
    <row r="7351" customFormat="1" x14ac:dyDescent="0.35"/>
    <row r="7352" customFormat="1" x14ac:dyDescent="0.35"/>
    <row r="7353" customFormat="1" x14ac:dyDescent="0.35"/>
    <row r="7354" customFormat="1" x14ac:dyDescent="0.35"/>
    <row r="7355" customFormat="1" x14ac:dyDescent="0.35"/>
    <row r="7356" customFormat="1" x14ac:dyDescent="0.35"/>
    <row r="7357" customFormat="1" x14ac:dyDescent="0.35"/>
    <row r="7358" customFormat="1" x14ac:dyDescent="0.35"/>
    <row r="7359" customFormat="1" x14ac:dyDescent="0.35"/>
    <row r="7360" customFormat="1" x14ac:dyDescent="0.35"/>
    <row r="7361" customFormat="1" x14ac:dyDescent="0.35"/>
    <row r="7362" customFormat="1" x14ac:dyDescent="0.35"/>
    <row r="7363" customFormat="1" x14ac:dyDescent="0.35"/>
    <row r="7364" customFormat="1" x14ac:dyDescent="0.35"/>
    <row r="7365" customFormat="1" x14ac:dyDescent="0.35"/>
    <row r="7366" customFormat="1" x14ac:dyDescent="0.35"/>
    <row r="7367" customFormat="1" x14ac:dyDescent="0.35"/>
    <row r="7368" customFormat="1" x14ac:dyDescent="0.35"/>
    <row r="7369" customFormat="1" x14ac:dyDescent="0.35"/>
    <row r="7370" customFormat="1" x14ac:dyDescent="0.35"/>
    <row r="7371" customFormat="1" x14ac:dyDescent="0.35"/>
    <row r="7372" customFormat="1" x14ac:dyDescent="0.35"/>
    <row r="7373" customFormat="1" x14ac:dyDescent="0.35"/>
    <row r="7374" customFormat="1" x14ac:dyDescent="0.35"/>
    <row r="7375" customFormat="1" x14ac:dyDescent="0.35"/>
    <row r="7376" customFormat="1" x14ac:dyDescent="0.35"/>
    <row r="7377" customFormat="1" x14ac:dyDescent="0.35"/>
    <row r="7378" customFormat="1" x14ac:dyDescent="0.35"/>
    <row r="7379" customFormat="1" x14ac:dyDescent="0.35"/>
    <row r="7380" customFormat="1" x14ac:dyDescent="0.35"/>
    <row r="7381" customFormat="1" x14ac:dyDescent="0.35"/>
    <row r="7382" customFormat="1" x14ac:dyDescent="0.35"/>
    <row r="7383" customFormat="1" x14ac:dyDescent="0.35"/>
    <row r="7384" customFormat="1" x14ac:dyDescent="0.35"/>
    <row r="7385" customFormat="1" x14ac:dyDescent="0.35"/>
    <row r="7386" customFormat="1" x14ac:dyDescent="0.35"/>
    <row r="7387" customFormat="1" x14ac:dyDescent="0.35"/>
    <row r="7388" customFormat="1" x14ac:dyDescent="0.35"/>
    <row r="7389" customFormat="1" x14ac:dyDescent="0.35"/>
    <row r="7390" customFormat="1" x14ac:dyDescent="0.35"/>
    <row r="7391" customFormat="1" x14ac:dyDescent="0.35"/>
    <row r="7392" customFormat="1" x14ac:dyDescent="0.35"/>
    <row r="7393" customFormat="1" x14ac:dyDescent="0.35"/>
    <row r="7394" customFormat="1" x14ac:dyDescent="0.35"/>
    <row r="7395" customFormat="1" x14ac:dyDescent="0.35"/>
    <row r="7396" customFormat="1" x14ac:dyDescent="0.35"/>
    <row r="7397" customFormat="1" x14ac:dyDescent="0.35"/>
    <row r="7398" customFormat="1" x14ac:dyDescent="0.35"/>
    <row r="7399" customFormat="1" x14ac:dyDescent="0.35"/>
    <row r="7400" customFormat="1" x14ac:dyDescent="0.35"/>
    <row r="7401" customFormat="1" x14ac:dyDescent="0.35"/>
    <row r="7402" customFormat="1" x14ac:dyDescent="0.35"/>
    <row r="7403" customFormat="1" x14ac:dyDescent="0.35"/>
    <row r="7404" customFormat="1" x14ac:dyDescent="0.35"/>
    <row r="7405" customFormat="1" x14ac:dyDescent="0.35"/>
    <row r="7406" customFormat="1" x14ac:dyDescent="0.35"/>
    <row r="7407" customFormat="1" x14ac:dyDescent="0.35"/>
    <row r="7408" customFormat="1" x14ac:dyDescent="0.35"/>
    <row r="7409" customFormat="1" x14ac:dyDescent="0.35"/>
    <row r="7410" customFormat="1" x14ac:dyDescent="0.35"/>
    <row r="7411" customFormat="1" x14ac:dyDescent="0.35"/>
    <row r="7412" customFormat="1" x14ac:dyDescent="0.35"/>
    <row r="7413" customFormat="1" x14ac:dyDescent="0.35"/>
    <row r="7414" customFormat="1" x14ac:dyDescent="0.35"/>
    <row r="7415" customFormat="1" x14ac:dyDescent="0.35"/>
    <row r="7416" customFormat="1" x14ac:dyDescent="0.35"/>
    <row r="7417" customFormat="1" x14ac:dyDescent="0.35"/>
    <row r="7418" customFormat="1" x14ac:dyDescent="0.35"/>
    <row r="7419" customFormat="1" x14ac:dyDescent="0.35"/>
    <row r="7420" customFormat="1" x14ac:dyDescent="0.35"/>
    <row r="7421" customFormat="1" x14ac:dyDescent="0.35"/>
    <row r="7422" customFormat="1" x14ac:dyDescent="0.35"/>
    <row r="7423" customFormat="1" x14ac:dyDescent="0.35"/>
    <row r="7424" customFormat="1" x14ac:dyDescent="0.35"/>
    <row r="7425" customFormat="1" x14ac:dyDescent="0.35"/>
    <row r="7426" customFormat="1" x14ac:dyDescent="0.35"/>
    <row r="7427" customFormat="1" x14ac:dyDescent="0.35"/>
    <row r="7428" customFormat="1" x14ac:dyDescent="0.35"/>
    <row r="7429" customFormat="1" x14ac:dyDescent="0.35"/>
    <row r="7430" customFormat="1" x14ac:dyDescent="0.35"/>
    <row r="7431" customFormat="1" x14ac:dyDescent="0.35"/>
    <row r="7432" customFormat="1" x14ac:dyDescent="0.35"/>
    <row r="7433" customFormat="1" x14ac:dyDescent="0.35"/>
    <row r="7434" customFormat="1" x14ac:dyDescent="0.35"/>
    <row r="7435" customFormat="1" x14ac:dyDescent="0.35"/>
    <row r="7436" customFormat="1" x14ac:dyDescent="0.35"/>
    <row r="7437" customFormat="1" x14ac:dyDescent="0.35"/>
    <row r="7438" customFormat="1" x14ac:dyDescent="0.35"/>
    <row r="7439" customFormat="1" x14ac:dyDescent="0.35"/>
    <row r="7440" customFormat="1" x14ac:dyDescent="0.35"/>
    <row r="7441" customFormat="1" x14ac:dyDescent="0.35"/>
    <row r="7442" customFormat="1" x14ac:dyDescent="0.35"/>
    <row r="7443" customFormat="1" x14ac:dyDescent="0.35"/>
    <row r="7444" customFormat="1" x14ac:dyDescent="0.35"/>
    <row r="7445" customFormat="1" x14ac:dyDescent="0.35"/>
    <row r="7446" customFormat="1" x14ac:dyDescent="0.35"/>
    <row r="7447" customFormat="1" x14ac:dyDescent="0.35"/>
    <row r="7448" customFormat="1" x14ac:dyDescent="0.35"/>
    <row r="7449" customFormat="1" x14ac:dyDescent="0.35"/>
    <row r="7450" customFormat="1" x14ac:dyDescent="0.35"/>
    <row r="7451" customFormat="1" x14ac:dyDescent="0.35"/>
    <row r="7452" customFormat="1" x14ac:dyDescent="0.35"/>
    <row r="7453" customFormat="1" x14ac:dyDescent="0.35"/>
    <row r="7454" customFormat="1" x14ac:dyDescent="0.35"/>
    <row r="7455" customFormat="1" x14ac:dyDescent="0.35"/>
    <row r="7456" customFormat="1" x14ac:dyDescent="0.35"/>
    <row r="7457" customFormat="1" x14ac:dyDescent="0.35"/>
    <row r="7458" customFormat="1" x14ac:dyDescent="0.35"/>
    <row r="7459" customFormat="1" x14ac:dyDescent="0.35"/>
    <row r="7460" customFormat="1" x14ac:dyDescent="0.35"/>
    <row r="7461" customFormat="1" x14ac:dyDescent="0.35"/>
    <row r="7462" customFormat="1" x14ac:dyDescent="0.35"/>
    <row r="7463" customFormat="1" x14ac:dyDescent="0.35"/>
    <row r="7464" customFormat="1" x14ac:dyDescent="0.35"/>
    <row r="7465" customFormat="1" x14ac:dyDescent="0.35"/>
    <row r="7466" customFormat="1" x14ac:dyDescent="0.35"/>
    <row r="7467" customFormat="1" x14ac:dyDescent="0.35"/>
    <row r="7468" customFormat="1" x14ac:dyDescent="0.35"/>
    <row r="7469" customFormat="1" x14ac:dyDescent="0.35"/>
    <row r="7470" customFormat="1" x14ac:dyDescent="0.35"/>
    <row r="7471" customFormat="1" x14ac:dyDescent="0.35"/>
    <row r="7472" customFormat="1" x14ac:dyDescent="0.35"/>
    <row r="7473" customFormat="1" x14ac:dyDescent="0.35"/>
    <row r="7474" customFormat="1" x14ac:dyDescent="0.35"/>
    <row r="7475" customFormat="1" x14ac:dyDescent="0.35"/>
    <row r="7476" customFormat="1" x14ac:dyDescent="0.35"/>
    <row r="7477" customFormat="1" x14ac:dyDescent="0.35"/>
    <row r="7478" customFormat="1" x14ac:dyDescent="0.35"/>
    <row r="7479" customFormat="1" x14ac:dyDescent="0.35"/>
    <row r="7480" customFormat="1" x14ac:dyDescent="0.35"/>
    <row r="7481" customFormat="1" x14ac:dyDescent="0.35"/>
    <row r="7482" customFormat="1" x14ac:dyDescent="0.35"/>
    <row r="7483" customFormat="1" x14ac:dyDescent="0.35"/>
    <row r="7484" customFormat="1" x14ac:dyDescent="0.35"/>
    <row r="7485" customFormat="1" x14ac:dyDescent="0.35"/>
    <row r="7486" customFormat="1" x14ac:dyDescent="0.35"/>
    <row r="7487" customFormat="1" x14ac:dyDescent="0.35"/>
    <row r="7488" customFormat="1" x14ac:dyDescent="0.35"/>
    <row r="7489" customFormat="1" x14ac:dyDescent="0.35"/>
    <row r="7490" customFormat="1" x14ac:dyDescent="0.35"/>
    <row r="7491" customFormat="1" x14ac:dyDescent="0.35"/>
    <row r="7492" customFormat="1" x14ac:dyDescent="0.35"/>
    <row r="7493" customFormat="1" x14ac:dyDescent="0.35"/>
    <row r="7494" customFormat="1" x14ac:dyDescent="0.35"/>
    <row r="7495" customFormat="1" x14ac:dyDescent="0.35"/>
    <row r="7496" customFormat="1" x14ac:dyDescent="0.35"/>
    <row r="7497" customFormat="1" x14ac:dyDescent="0.35"/>
    <row r="7498" customFormat="1" x14ac:dyDescent="0.35"/>
    <row r="7499" customFormat="1" x14ac:dyDescent="0.35"/>
    <row r="7500" customFormat="1" x14ac:dyDescent="0.35"/>
    <row r="7501" customFormat="1" x14ac:dyDescent="0.35"/>
    <row r="7502" customFormat="1" x14ac:dyDescent="0.35"/>
    <row r="7503" customFormat="1" x14ac:dyDescent="0.35"/>
    <row r="7504" customFormat="1" x14ac:dyDescent="0.35"/>
    <row r="7505" customFormat="1" x14ac:dyDescent="0.35"/>
    <row r="7506" customFormat="1" x14ac:dyDescent="0.35"/>
    <row r="7507" customFormat="1" x14ac:dyDescent="0.35"/>
    <row r="7508" customFormat="1" x14ac:dyDescent="0.35"/>
    <row r="7509" customFormat="1" x14ac:dyDescent="0.35"/>
    <row r="7510" customFormat="1" x14ac:dyDescent="0.35"/>
    <row r="7511" customFormat="1" x14ac:dyDescent="0.35"/>
    <row r="7512" customFormat="1" x14ac:dyDescent="0.35"/>
    <row r="7513" customFormat="1" x14ac:dyDescent="0.35"/>
    <row r="7514" customFormat="1" x14ac:dyDescent="0.35"/>
    <row r="7515" customFormat="1" x14ac:dyDescent="0.35"/>
    <row r="7516" customFormat="1" x14ac:dyDescent="0.35"/>
    <row r="7517" customFormat="1" x14ac:dyDescent="0.35"/>
    <row r="7518" customFormat="1" x14ac:dyDescent="0.35"/>
    <row r="7519" customFormat="1" x14ac:dyDescent="0.35"/>
    <row r="7520" customFormat="1" x14ac:dyDescent="0.35"/>
    <row r="7521" customFormat="1" x14ac:dyDescent="0.35"/>
    <row r="7522" customFormat="1" x14ac:dyDescent="0.35"/>
    <row r="7523" customFormat="1" x14ac:dyDescent="0.35"/>
    <row r="7524" customFormat="1" x14ac:dyDescent="0.35"/>
    <row r="7525" customFormat="1" x14ac:dyDescent="0.35"/>
    <row r="7526" customFormat="1" x14ac:dyDescent="0.35"/>
    <row r="7527" customFormat="1" x14ac:dyDescent="0.35"/>
    <row r="7528" customFormat="1" x14ac:dyDescent="0.35"/>
    <row r="7529" customFormat="1" x14ac:dyDescent="0.35"/>
    <row r="7530" customFormat="1" x14ac:dyDescent="0.35"/>
    <row r="7531" customFormat="1" x14ac:dyDescent="0.35"/>
    <row r="7532" customFormat="1" x14ac:dyDescent="0.35"/>
  </sheetData>
  <sortState xmlns:xlrd2="http://schemas.microsoft.com/office/spreadsheetml/2017/richdata2" ref="A7:I3574">
    <sortCondition ref="B7:B3574"/>
    <sortCondition ref="D7:D3574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B479DE97358D43AEB72738EE1F2D08" ma:contentTypeVersion="2" ma:contentTypeDescription="Create a new document." ma:contentTypeScope="" ma:versionID="e084a3b99851304f4f38e77c997b3e73">
  <xsd:schema xmlns:xsd="http://www.w3.org/2001/XMLSchema" xmlns:xs="http://www.w3.org/2001/XMLSchema" xmlns:p="http://schemas.microsoft.com/office/2006/metadata/properties" xmlns:ns1="http://schemas.microsoft.com/sharepoint/v3" xmlns:ns2="a8b72882-1d02-4704-8464-4e9c6e9dc531" targetNamespace="http://schemas.microsoft.com/office/2006/metadata/properties" ma:root="true" ma:fieldsID="e1c1267e1aa6198bcb4d2224473d480d" ns1:_="" ns2:_="">
    <xsd:import namespace="http://schemas.microsoft.com/sharepoint/v3"/>
    <xsd:import namespace="a8b72882-1d02-4704-8464-4e9c6e9dc53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b72882-1d02-4704-8464-4e9c6e9dc5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F0D2488-1FC3-4C90-9DCB-FDC589F368A5}"/>
</file>

<file path=customXml/itemProps2.xml><?xml version="1.0" encoding="utf-8"?>
<ds:datastoreItem xmlns:ds="http://schemas.openxmlformats.org/officeDocument/2006/customXml" ds:itemID="{83267987-B474-40B9-A073-882767149B50}"/>
</file>

<file path=customXml/itemProps3.xml><?xml version="1.0" encoding="utf-8"?>
<ds:datastoreItem xmlns:ds="http://schemas.openxmlformats.org/officeDocument/2006/customXml" ds:itemID="{1015B20F-6935-4FD6-8D88-B72176D1C9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Statewide Billing_June 2026</dc:title>
  <dc:creator>BURNS, ROSLIN M</dc:creator>
  <cp:lastModifiedBy>Merchant, Todd M - DOT</cp:lastModifiedBy>
  <dcterms:created xsi:type="dcterms:W3CDTF">2026-06-22T18:43:19Z</dcterms:created>
  <dcterms:modified xsi:type="dcterms:W3CDTF">2026-06-24T17:16:42Z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0x010100E9B479DE97358D43AEB72738EE1F2D08</vt:lpwstr>
  </property>
</Properties>
</file>